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orion\Espais_Publics\SECCIO_ENLLUMENAT\02_AJUNTAMENT\01_COMPRES\01_PLECS_DE_CONDICIONS\02_MANTENIMENT\2020_55686_PLEC_MANTENIMENT_ENLLUMENAT\"/>
    </mc:Choice>
  </mc:AlternateContent>
  <bookViews>
    <workbookView xWindow="0" yWindow="0" windowWidth="20490" windowHeight="7755"/>
  </bookViews>
  <sheets>
    <sheet name="Annex_1_PLEC" sheetId="1" r:id="rId1"/>
  </sheets>
  <externalReferences>
    <externalReference r:id="rId2"/>
  </externalReferences>
  <definedNames>
    <definedName name="_Toc392844579" localSheetId="0">Annex_1_PLEC!$B$72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" i="1" l="1"/>
  <c r="L9" i="1"/>
  <c r="R9" i="1"/>
  <c r="F9" i="1" s="1"/>
  <c r="S9" i="1"/>
  <c r="V9" i="1"/>
  <c r="AA9" i="1" s="1"/>
  <c r="W9" i="1"/>
  <c r="F11" i="1"/>
  <c r="J11" i="1"/>
  <c r="L11" i="1"/>
  <c r="Y11" i="1" s="1"/>
  <c r="AC11" i="1" s="1"/>
  <c r="T11" i="1"/>
  <c r="AA11" i="1" s="1"/>
  <c r="U11" i="1"/>
  <c r="AB11" i="1"/>
  <c r="D12" i="1"/>
  <c r="E12" i="1"/>
  <c r="X12" i="1" s="1"/>
  <c r="F12" i="1"/>
  <c r="S12" i="1" s="1"/>
  <c r="J12" i="1"/>
  <c r="R12" i="1"/>
  <c r="AA12" i="1"/>
  <c r="D13" i="1"/>
  <c r="E13" i="1"/>
  <c r="X13" i="1" s="1"/>
  <c r="F13" i="1"/>
  <c r="J13" i="1"/>
  <c r="L13" i="1"/>
  <c r="K13" i="1" s="1"/>
  <c r="R13" i="1"/>
  <c r="S13" i="1"/>
  <c r="AA13" i="1"/>
  <c r="AB13" i="1"/>
  <c r="F14" i="1"/>
  <c r="L14" i="1" s="1"/>
  <c r="AC14" i="1"/>
  <c r="F15" i="1"/>
  <c r="V15" i="1" s="1"/>
  <c r="L15" i="1"/>
  <c r="AC15" i="1"/>
  <c r="E16" i="1"/>
  <c r="J16" i="1"/>
  <c r="L16" i="1" s="1"/>
  <c r="K16" i="1" s="1"/>
  <c r="R16" i="1"/>
  <c r="S16" i="1"/>
  <c r="AB16" i="1" s="1"/>
  <c r="X16" i="1"/>
  <c r="AA16" i="1"/>
  <c r="AA20" i="1"/>
  <c r="AB20" i="1"/>
  <c r="AC20" i="1"/>
  <c r="F27" i="1"/>
  <c r="G27" i="1"/>
  <c r="J27" i="1"/>
  <c r="Y27" i="1" s="1"/>
  <c r="AC27" i="1" s="1"/>
  <c r="T27" i="1"/>
  <c r="AA27" i="1" s="1"/>
  <c r="U27" i="1"/>
  <c r="AB27" i="1" s="1"/>
  <c r="F28" i="1"/>
  <c r="G28" i="1"/>
  <c r="J28" i="1"/>
  <c r="L28" i="1" s="1"/>
  <c r="K28" i="1" s="1"/>
  <c r="T28" i="1"/>
  <c r="AA28" i="1" s="1"/>
  <c r="U28" i="1"/>
  <c r="AB28" i="1" s="1"/>
  <c r="Y28" i="1"/>
  <c r="AC28" i="1" s="1"/>
  <c r="F29" i="1"/>
  <c r="T29" i="1" s="1"/>
  <c r="G29" i="1"/>
  <c r="J29" i="1"/>
  <c r="L29" i="1"/>
  <c r="K29" i="1" s="1"/>
  <c r="X29" i="1"/>
  <c r="Y29" i="1"/>
  <c r="AC29" i="1" s="1"/>
  <c r="F30" i="1"/>
  <c r="T30" i="1" s="1"/>
  <c r="G30" i="1"/>
  <c r="J30" i="1"/>
  <c r="L30" i="1"/>
  <c r="K30" i="1" s="1"/>
  <c r="X30" i="1"/>
  <c r="AC30" i="1" s="1"/>
  <c r="Y30" i="1"/>
  <c r="AA34" i="1"/>
  <c r="AB34" i="1"/>
  <c r="AC34" i="1"/>
  <c r="K39" i="1"/>
  <c r="L39" i="1" s="1"/>
  <c r="AA39" i="1"/>
  <c r="AB39" i="1"/>
  <c r="K40" i="1"/>
  <c r="L40" i="1"/>
  <c r="X40" i="1"/>
  <c r="AC40" i="1" s="1"/>
  <c r="AA40" i="1"/>
  <c r="AB40" i="1"/>
  <c r="K41" i="1"/>
  <c r="L41" i="1" s="1"/>
  <c r="X41" i="1" s="1"/>
  <c r="AC41" i="1" s="1"/>
  <c r="AA41" i="1"/>
  <c r="AB41" i="1"/>
  <c r="K42" i="1"/>
  <c r="L42" i="1"/>
  <c r="X42" i="1"/>
  <c r="AC42" i="1" s="1"/>
  <c r="AA42" i="1"/>
  <c r="AB42" i="1"/>
  <c r="K43" i="1"/>
  <c r="L43" i="1" s="1"/>
  <c r="X43" i="1" s="1"/>
  <c r="AC43" i="1" s="1"/>
  <c r="AA43" i="1"/>
  <c r="AB43" i="1"/>
  <c r="K44" i="1"/>
  <c r="L44" i="1"/>
  <c r="X44" i="1"/>
  <c r="AC44" i="1" s="1"/>
  <c r="AA44" i="1"/>
  <c r="AB44" i="1"/>
  <c r="K45" i="1"/>
  <c r="L45" i="1" s="1"/>
  <c r="X45" i="1" s="1"/>
  <c r="AC45" i="1" s="1"/>
  <c r="AA45" i="1"/>
  <c r="AB45" i="1"/>
  <c r="K46" i="1"/>
  <c r="L46" i="1"/>
  <c r="X46" i="1"/>
  <c r="AC46" i="1" s="1"/>
  <c r="AA46" i="1"/>
  <c r="AB46" i="1"/>
  <c r="K47" i="1"/>
  <c r="L47" i="1" s="1"/>
  <c r="X47" i="1" s="1"/>
  <c r="AC47" i="1" s="1"/>
  <c r="AA47" i="1"/>
  <c r="AB47" i="1"/>
  <c r="K48" i="1"/>
  <c r="L48" i="1"/>
  <c r="X48" i="1"/>
  <c r="AC48" i="1" s="1"/>
  <c r="AA48" i="1"/>
  <c r="AB48" i="1"/>
  <c r="K49" i="1"/>
  <c r="L49" i="1" s="1"/>
  <c r="X49" i="1" s="1"/>
  <c r="AC49" i="1" s="1"/>
  <c r="AA49" i="1"/>
  <c r="AB49" i="1"/>
  <c r="K50" i="1"/>
  <c r="L50" i="1"/>
  <c r="X50" i="1"/>
  <c r="AC50" i="1" s="1"/>
  <c r="AA50" i="1"/>
  <c r="AB50" i="1"/>
  <c r="I51" i="1"/>
  <c r="K51" i="1"/>
  <c r="L51" i="1" s="1"/>
  <c r="X51" i="1" s="1"/>
  <c r="AC51" i="1" s="1"/>
  <c r="AA51" i="1"/>
  <c r="AB51" i="1"/>
  <c r="K52" i="1"/>
  <c r="L52" i="1"/>
  <c r="X52" i="1" s="1"/>
  <c r="AC52" i="1" s="1"/>
  <c r="AA52" i="1"/>
  <c r="AB52" i="1"/>
  <c r="K53" i="1"/>
  <c r="L53" i="1" s="1"/>
  <c r="X53" i="1" s="1"/>
  <c r="AC53" i="1" s="1"/>
  <c r="AA53" i="1"/>
  <c r="AB53" i="1"/>
  <c r="K54" i="1"/>
  <c r="L54" i="1"/>
  <c r="X54" i="1" s="1"/>
  <c r="AC54" i="1" s="1"/>
  <c r="AA54" i="1"/>
  <c r="AB54" i="1"/>
  <c r="K55" i="1"/>
  <c r="L55" i="1" s="1"/>
  <c r="AA55" i="1"/>
  <c r="AB55" i="1"/>
  <c r="AC55" i="1"/>
  <c r="I56" i="1"/>
  <c r="K56" i="1"/>
  <c r="L56" i="1"/>
  <c r="X56" i="1" s="1"/>
  <c r="AC56" i="1" s="1"/>
  <c r="R56" i="1"/>
  <c r="S56" i="1" s="1"/>
  <c r="AB56" i="1" s="1"/>
  <c r="Y56" i="1"/>
  <c r="AA56" i="1"/>
  <c r="J63" i="1"/>
  <c r="K63" i="1"/>
  <c r="L63" i="1"/>
  <c r="R63" i="1"/>
  <c r="S63" i="1" s="1"/>
  <c r="T63" i="1"/>
  <c r="U63" i="1"/>
  <c r="AA67" i="1"/>
  <c r="AB67" i="1"/>
  <c r="AC67" i="1"/>
  <c r="J72" i="1"/>
  <c r="L72" i="1" s="1"/>
  <c r="K72" i="1" s="1"/>
  <c r="P72" i="1"/>
  <c r="P106" i="1" s="1"/>
  <c r="Q72" i="1"/>
  <c r="AB72" i="1" s="1"/>
  <c r="T72" i="1"/>
  <c r="U72" i="1"/>
  <c r="AA72" i="1"/>
  <c r="J73" i="1"/>
  <c r="L73" i="1" s="1"/>
  <c r="K73" i="1" s="1"/>
  <c r="P73" i="1"/>
  <c r="Q73" i="1"/>
  <c r="AB73" i="1" s="1"/>
  <c r="T73" i="1"/>
  <c r="U73" i="1"/>
  <c r="X73" i="1"/>
  <c r="Y73" i="1"/>
  <c r="AC73" i="1" s="1"/>
  <c r="AA73" i="1"/>
  <c r="AA77" i="1"/>
  <c r="AB77" i="1"/>
  <c r="AC77" i="1"/>
  <c r="E81" i="1"/>
  <c r="J81" i="1"/>
  <c r="L81" i="1" s="1"/>
  <c r="K81" i="1" s="1"/>
  <c r="R81" i="1"/>
  <c r="S81" i="1"/>
  <c r="T81" i="1"/>
  <c r="AA81" i="1" s="1"/>
  <c r="U81" i="1"/>
  <c r="V81" i="1"/>
  <c r="W81" i="1"/>
  <c r="X81" i="1"/>
  <c r="AB81" i="1"/>
  <c r="E82" i="1"/>
  <c r="J82" i="1"/>
  <c r="L82" i="1"/>
  <c r="K82" i="1" s="1"/>
  <c r="R82" i="1"/>
  <c r="S82" i="1"/>
  <c r="T82" i="1"/>
  <c r="AA82" i="1" s="1"/>
  <c r="U82" i="1"/>
  <c r="V82" i="1"/>
  <c r="W82" i="1" s="1"/>
  <c r="X82" i="1"/>
  <c r="Y82" i="1"/>
  <c r="AC82" i="1" s="1"/>
  <c r="J83" i="1"/>
  <c r="L83" i="1" s="1"/>
  <c r="K83" i="1" s="1"/>
  <c r="P83" i="1"/>
  <c r="AA83" i="1" s="1"/>
  <c r="Q83" i="1"/>
  <c r="X83" i="1"/>
  <c r="AB83" i="1"/>
  <c r="AA87" i="1"/>
  <c r="AB87" i="1"/>
  <c r="AC87" i="1"/>
  <c r="L92" i="1"/>
  <c r="K92" i="1" s="1"/>
  <c r="V92" i="1"/>
  <c r="AA92" i="1" s="1"/>
  <c r="W92" i="1"/>
  <c r="AB92" i="1" s="1"/>
  <c r="AC92" i="1"/>
  <c r="E93" i="1"/>
  <c r="L93" i="1" s="1"/>
  <c r="J93" i="1"/>
  <c r="R93" i="1"/>
  <c r="AA93" i="1" s="1"/>
  <c r="S93" i="1"/>
  <c r="T93" i="1"/>
  <c r="U93" i="1"/>
  <c r="X93" i="1"/>
  <c r="Y93" i="1"/>
  <c r="AB93" i="1"/>
  <c r="AC93" i="1"/>
  <c r="AA97" i="1"/>
  <c r="AB97" i="1"/>
  <c r="AC97" i="1"/>
  <c r="AA101" i="1"/>
  <c r="AB101" i="1"/>
  <c r="AC101" i="1"/>
  <c r="R106" i="1"/>
  <c r="Z106" i="1"/>
  <c r="AB63" i="1" l="1"/>
  <c r="L58" i="1"/>
  <c r="X39" i="1"/>
  <c r="AC39" i="1" s="1"/>
  <c r="K93" i="1"/>
  <c r="AB82" i="1"/>
  <c r="AA30" i="1"/>
  <c r="U30" i="1"/>
  <c r="AB30" i="1" s="1"/>
  <c r="AB12" i="1"/>
  <c r="S106" i="1"/>
  <c r="W15" i="1"/>
  <c r="AB15" i="1" s="1"/>
  <c r="AA15" i="1"/>
  <c r="AA29" i="1"/>
  <c r="U29" i="1"/>
  <c r="AB29" i="1" s="1"/>
  <c r="Y72" i="1"/>
  <c r="AC72" i="1" s="1"/>
  <c r="AB9" i="1"/>
  <c r="K9" i="1"/>
  <c r="T106" i="1"/>
  <c r="Y83" i="1"/>
  <c r="AC83" i="1" s="1"/>
  <c r="AA63" i="1"/>
  <c r="L27" i="1"/>
  <c r="V14" i="1"/>
  <c r="Y13" i="1"/>
  <c r="AC13" i="1" s="1"/>
  <c r="Q106" i="1"/>
  <c r="L12" i="1"/>
  <c r="L97" i="1"/>
  <c r="Y81" i="1"/>
  <c r="AC81" i="1" s="1"/>
  <c r="Y63" i="1"/>
  <c r="X63" i="1" s="1"/>
  <c r="L18" i="1"/>
  <c r="L20" i="1" s="1"/>
  <c r="Y16" i="1"/>
  <c r="AC16" i="1" s="1"/>
  <c r="AC63" i="1" l="1"/>
  <c r="X106" i="1"/>
  <c r="L101" i="1"/>
  <c r="L106" i="1" s="1"/>
  <c r="AA14" i="1"/>
  <c r="AA106" i="1" s="1"/>
  <c r="W14" i="1"/>
  <c r="V106" i="1"/>
  <c r="U106" i="1"/>
  <c r="Y12" i="1"/>
  <c r="AC12" i="1" s="1"/>
  <c r="K12" i="1"/>
  <c r="K27" i="1"/>
  <c r="L32" i="1"/>
  <c r="Y9" i="1"/>
  <c r="L109" i="1" l="1"/>
  <c r="L108" i="1"/>
  <c r="L111" i="1" s="1"/>
  <c r="AB14" i="1"/>
  <c r="AB106" i="1" s="1"/>
  <c r="W106" i="1"/>
  <c r="Y106" i="1"/>
  <c r="AC9" i="1"/>
  <c r="AC106" i="1" s="1"/>
  <c r="L113" i="1" l="1"/>
  <c r="L122" i="1" s="1"/>
  <c r="L118" i="1"/>
  <c r="L121" i="1"/>
  <c r="L123" i="1" l="1"/>
  <c r="L120" i="1"/>
  <c r="L119" i="1" l="1"/>
  <c r="L124" i="1"/>
</calcChain>
</file>

<file path=xl/sharedStrings.xml><?xml version="1.0" encoding="utf-8"?>
<sst xmlns="http://schemas.openxmlformats.org/spreadsheetml/2006/main" count="416" uniqueCount="106">
  <si>
    <t>Pressupost estimat del contracte + IVA</t>
  </si>
  <si>
    <t>Pressupost estimat del contracte</t>
  </si>
  <si>
    <t>Ampliació màxima del contracte (20% anual) + IVA</t>
  </si>
  <si>
    <t>Ampliació màxima del contracte (20% anual)</t>
  </si>
  <si>
    <t>Pressupost del contracte + IVA</t>
  </si>
  <si>
    <t>IVA</t>
  </si>
  <si>
    <t>Pressupost del contracte</t>
  </si>
  <si>
    <t>PEM + IVA (21%)</t>
  </si>
  <si>
    <t>PEM</t>
  </si>
  <si>
    <t>+ BI (6%)</t>
  </si>
  <si>
    <t>+ DG (13%)</t>
  </si>
  <si>
    <t>Percentatge proposat</t>
  </si>
  <si>
    <t>TOTAL</t>
  </si>
  <si>
    <t>Total costos material i vehicles</t>
  </si>
  <si>
    <t>Total Costos de personal</t>
  </si>
  <si>
    <t>Total Hores de personal</t>
  </si>
  <si>
    <t>Vehicles (€)</t>
  </si>
  <si>
    <t>Material (€)</t>
  </si>
  <si>
    <t>Costos Tècnic</t>
  </si>
  <si>
    <t>Hores Tècnic</t>
  </si>
  <si>
    <t>Costos Peó</t>
  </si>
  <si>
    <t>HoresPeó</t>
  </si>
  <si>
    <t>Costos Oficial 1ª</t>
  </si>
  <si>
    <t>Hores Oficial 1ª</t>
  </si>
  <si>
    <t>Costos Encarregat</t>
  </si>
  <si>
    <t>Hores Encarregat</t>
  </si>
  <si>
    <t>5 - ALTRES TREBALLS (10%)</t>
  </si>
  <si>
    <t>Justificació de la baixa</t>
  </si>
  <si>
    <t>Baixa proposada</t>
  </si>
  <si>
    <t>Preu unitari de telegestió i control energètic (200 quadres 12 mesos)</t>
  </si>
  <si>
    <t>-</t>
  </si>
  <si>
    <r>
      <t>·</t>
    </r>
    <r>
      <rPr>
        <sz val="7"/>
        <rFont val="Times New Roman"/>
        <family val="1"/>
      </rPr>
      <t xml:space="preserve">         </t>
    </r>
    <r>
      <rPr>
        <sz val="10"/>
        <rFont val="Arial"/>
        <family val="2"/>
      </rPr>
      <t>Treballs de reparació o substitució d’equips avariats, que inclou tots el materials i feines a fer.</t>
    </r>
  </si>
  <si>
    <r>
      <t>·</t>
    </r>
    <r>
      <rPr>
        <sz val="7"/>
        <rFont val="Times New Roman"/>
        <family val="1"/>
      </rPr>
      <t>         C</t>
    </r>
    <r>
      <rPr>
        <sz val="10"/>
        <rFont val="Arial"/>
        <family val="2"/>
      </rPr>
      <t>onnexió, transmissió i  registre de dades a l’aplicació. Energètic, alarmes, estad. i validació.</t>
    </r>
  </si>
  <si>
    <t>Import anual (€)</t>
  </si>
  <si>
    <t>Preu per unitat (€)</t>
  </si>
  <si>
    <t>Transport (4h)</t>
  </si>
  <si>
    <t>Material</t>
  </si>
  <si>
    <t>Quantitat</t>
  </si>
  <si>
    <t>4 - TELEGESTIÓ I CONTROL ENERGÈTIC</t>
  </si>
  <si>
    <t>·          Inspeccions obligatòries de les EIC quadres Enllumenat</t>
  </si>
  <si>
    <t>·          Reparació incidències en quadre resultat del normatiu</t>
  </si>
  <si>
    <t>·          Reparació incidències en punts de llum resultat del normatiu</t>
  </si>
  <si>
    <t># Tècnic</t>
  </si>
  <si>
    <t># Peó</t>
  </si>
  <si>
    <t># Oficial 1ª</t>
  </si>
  <si>
    <t># Encarregat</t>
  </si>
  <si>
    <t>·          Verificació de punts de llum i línies</t>
  </si>
  <si>
    <t>·          Verificació de quadres</t>
  </si>
  <si>
    <t>3 - MANTENIMENT NORMATIU</t>
  </si>
  <si>
    <t>Canvi de Bateries - Telegestió</t>
  </si>
  <si>
    <t>Cost unitari canvi (€)</t>
  </si>
  <si>
    <t>Operacions per any</t>
  </si>
  <si>
    <t>Unitats</t>
  </si>
  <si>
    <t>Canvi de fungibles</t>
  </si>
  <si>
    <t>Total reposició preventiva de llumeneres</t>
  </si>
  <si>
    <t># Llumeneres</t>
  </si>
  <si>
    <t>Treballs canvi llumeneres</t>
  </si>
  <si>
    <r>
      <t>·         Projector LED fins a 300W (substitueix v</t>
    </r>
    <r>
      <rPr>
        <sz val="10"/>
        <rFont val="Arial"/>
        <family val="2"/>
      </rPr>
      <t>apor de sodi a.p. 1.000 W)</t>
    </r>
  </si>
  <si>
    <t>·         Projector LED fins a 150W (substitueix vapor de sodi a.p. 400 W)</t>
  </si>
  <si>
    <t>·         Projector LED fins a 150W (substitueix Vapor de sodi a.p. 250 W)</t>
  </si>
  <si>
    <r>
      <t>·         Urbana o Vial LED 70 W (</t>
    </r>
    <r>
      <rPr>
        <sz val="10"/>
        <rFont val="Arial"/>
        <family val="2"/>
      </rPr>
      <t>Vapor de sodi a.p. 150 W)</t>
    </r>
  </si>
  <si>
    <r>
      <t xml:space="preserve">·         Urbana o Vial LED 70 W ( Substitueix </t>
    </r>
    <r>
      <rPr>
        <sz val="10"/>
        <rFont val="Arial"/>
        <family val="2"/>
      </rPr>
      <t>Vapor de sodi a.p. 100 W)</t>
    </r>
  </si>
  <si>
    <t>·         Urbana o Vial LED 50 W ( Substitueix vapor de sodi a.p. 70 W)</t>
  </si>
  <si>
    <t>·         Urbana o Vial LED 50 W ( Substitueix vapor de sodi a.p. 50 W)</t>
  </si>
  <si>
    <r>
      <t>·         Projector LED fins a 300W (</t>
    </r>
    <r>
      <rPr>
        <sz val="10"/>
        <rFont val="Arial"/>
        <family val="2"/>
      </rPr>
      <t>Halogenurs metàl.lics 250/400 W)</t>
    </r>
  </si>
  <si>
    <t>·         Projector LED 50/70W (substitueix Halogenurs metàl.lics 150 W)</t>
  </si>
  <si>
    <t>·         Projector LED 50/70W (substitueix Halogenurs metàl.lics 100 W)</t>
  </si>
  <si>
    <t>·         Projector LED 50/70W (substitueix Halogenurs metàl.lics 50/70 W)</t>
  </si>
  <si>
    <t>·         Lluminaria amb Leds fins 100 W</t>
  </si>
  <si>
    <t>·         Modul Retrofit FO-8 (58/80 W) amb font i drivers</t>
  </si>
  <si>
    <t>·         Leds 22 W (subtitueix fluor. 58W)</t>
  </si>
  <si>
    <t>·         Leds 18 W (subtitueix fluor. 36W)</t>
  </si>
  <si>
    <t>·         Leds 10 W (subtitueix fluor. 18W)</t>
  </si>
  <si>
    <t>·         Baix consum 7/9/10/11/13/20/25 W</t>
  </si>
  <si>
    <t>Cost unitari llumenera (€)</t>
  </si>
  <si>
    <t>Operacions any</t>
  </si>
  <si>
    <t>Reposició preventiva de llumeneres</t>
  </si>
  <si>
    <t>Total neteja</t>
  </si>
  <si>
    <t>0,5 u / h</t>
  </si>
  <si>
    <t>·         Neteja i tractament de quadre</t>
  </si>
  <si>
    <t>16 u / 4 h</t>
  </si>
  <si>
    <t>·         Neteja de bàcul</t>
  </si>
  <si>
    <t>22 u / 4 h</t>
  </si>
  <si>
    <t>·         Neteja complerta de llumenera tancada urbana a menys de 5 m  d'alçada</t>
  </si>
  <si>
    <t>22 u / 4h</t>
  </si>
  <si>
    <t>·         Neteja complerta de llumenera tancada vial a més de 5 m d'alçada</t>
  </si>
  <si>
    <t>Ope/any</t>
  </si>
  <si>
    <t>hores</t>
  </si>
  <si>
    <t>Rendiment</t>
  </si>
  <si>
    <t>Unitat</t>
  </si>
  <si>
    <t>Neteja</t>
  </si>
  <si>
    <t>2 - CONSERVACIÓ PREVENTIVA</t>
  </si>
  <si>
    <t>Preu unitari del control de funcionament per punt de llum (€/punts de llum/dies any)</t>
  </si>
  <si>
    <t>Total control de funcionament</t>
  </si>
  <si>
    <r>
      <t>·</t>
    </r>
    <r>
      <rPr>
        <sz val="7"/>
        <rFont val="Arial"/>
        <family val="2"/>
      </rPr>
      <t xml:space="preserve">         </t>
    </r>
    <r>
      <rPr>
        <sz val="10"/>
        <rFont val="Arial"/>
        <family val="2"/>
      </rPr>
      <t>Servei de guàrdia.</t>
    </r>
  </si>
  <si>
    <r>
      <t>·</t>
    </r>
    <r>
      <rPr>
        <sz val="7"/>
        <rFont val="Arial"/>
        <family val="2"/>
      </rPr>
      <t xml:space="preserve">         </t>
    </r>
    <r>
      <rPr>
        <sz val="10"/>
        <rFont val="Arial"/>
        <family val="2"/>
      </rPr>
      <t>Anàlisi tècnic de les incidències i actuacions. Propostes d’actuació justificades i valorades.</t>
    </r>
  </si>
  <si>
    <r>
      <t>·</t>
    </r>
    <r>
      <rPr>
        <sz val="7"/>
        <rFont val="Arial"/>
        <family val="2"/>
      </rPr>
      <t xml:space="preserve">         </t>
    </r>
    <r>
      <rPr>
        <sz val="10"/>
        <rFont val="Arial"/>
        <family val="2"/>
      </rPr>
      <t>Actualització de l'inventari.</t>
    </r>
  </si>
  <si>
    <r>
      <t>·</t>
    </r>
    <r>
      <rPr>
        <sz val="7"/>
        <rFont val="Arial"/>
        <family val="2"/>
      </rPr>
      <t xml:space="preserve">         </t>
    </r>
    <r>
      <rPr>
        <sz val="10"/>
        <rFont val="Arial"/>
        <family val="2"/>
      </rPr>
      <t>Reparació d‘avaries i arranjament de desperfectes.</t>
    </r>
  </si>
  <si>
    <r>
      <t>·</t>
    </r>
    <r>
      <rPr>
        <sz val="7"/>
        <rFont val="Arial"/>
        <family val="2"/>
      </rPr>
      <t xml:space="preserve">         </t>
    </r>
    <r>
      <rPr>
        <sz val="10"/>
        <rFont val="Arial"/>
        <family val="2"/>
      </rPr>
      <t>Reparació puntual de làmpades.</t>
    </r>
  </si>
  <si>
    <r>
      <t>·</t>
    </r>
    <r>
      <rPr>
        <sz val="7"/>
        <rFont val="Arial"/>
        <family val="2"/>
      </rPr>
      <t xml:space="preserve">         </t>
    </r>
    <r>
      <rPr>
        <sz val="10"/>
        <rFont val="Arial"/>
        <family val="2"/>
      </rPr>
      <t>Inspeccions nocturnes de les instal·lacions.</t>
    </r>
  </si>
  <si>
    <r>
      <t>·</t>
    </r>
    <r>
      <rPr>
        <sz val="7"/>
        <color indexed="23"/>
        <rFont val="Arial"/>
        <family val="2"/>
      </rPr>
      <t xml:space="preserve">         </t>
    </r>
    <r>
      <rPr>
        <sz val="10"/>
        <color indexed="23"/>
        <rFont val="Arial"/>
        <family val="2"/>
      </rPr>
      <t>Seguiment d’obres i altres actuacions de tercers que puguin afectar l’enllumenat.</t>
    </r>
  </si>
  <si>
    <r>
      <t>·</t>
    </r>
    <r>
      <rPr>
        <sz val="7"/>
        <rFont val="Arial"/>
        <family val="2"/>
      </rPr>
      <t xml:space="preserve">         </t>
    </r>
    <r>
      <rPr>
        <sz val="10"/>
        <rFont val="Arial"/>
        <family val="2"/>
      </rPr>
      <t>Control del nivell de llum i realització d’estudis lumínics.</t>
    </r>
  </si>
  <si>
    <r>
      <t>·</t>
    </r>
    <r>
      <rPr>
        <sz val="7"/>
        <color indexed="23"/>
        <rFont val="Arial"/>
        <family val="2"/>
      </rPr>
      <t xml:space="preserve">         </t>
    </r>
    <r>
      <rPr>
        <sz val="10"/>
        <color indexed="23"/>
        <rFont val="Arial"/>
        <family val="2"/>
      </rPr>
      <t>Control d’encesa, regulació de nivells i apagada.</t>
    </r>
  </si>
  <si>
    <t>Hores</t>
  </si>
  <si>
    <t>Operacions perany (u)</t>
  </si>
  <si>
    <t>1 - CONTROL DE FUNCIONAMENT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</si>
</sst>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\ [$€-C0A]_-;\-* #,##0.00\ [$€-C0A]_-;_-* &quot;-&quot;??\ [$€-C0A]_-;_-@_-"/>
    <numFmt numFmtId="165" formatCode="#,##0.00\ &quot;€&quot;"/>
    <numFmt numFmtId="166" formatCode="#,##0.000\ &quot;€&quot;"/>
    <numFmt numFmtId="167" formatCode="#,##0.000"/>
    <numFmt numFmtId="168" formatCode="0.000"/>
  </numFmts>
  <fonts count="15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Symbol"/>
      <family val="1"/>
      <charset val="2"/>
    </font>
    <font>
      <b/>
      <sz val="10"/>
      <color theme="0"/>
      <name val="Arial"/>
      <family val="2"/>
    </font>
    <font>
      <b/>
      <sz val="10"/>
      <color theme="0" tint="-0.499984740745262"/>
      <name val="Arial"/>
      <family val="2"/>
    </font>
    <font>
      <sz val="7"/>
      <name val="Times New Roman"/>
      <family val="1"/>
    </font>
    <font>
      <sz val="10"/>
      <color theme="0"/>
      <name val="Arial"/>
      <family val="2"/>
    </font>
    <font>
      <sz val="10"/>
      <color theme="0"/>
      <name val="Symbol"/>
      <family val="1"/>
      <charset val="2"/>
    </font>
    <font>
      <sz val="10"/>
      <color theme="0" tint="-0.499984740745262"/>
      <name val="Arial"/>
      <family val="2"/>
    </font>
    <font>
      <sz val="10"/>
      <color theme="1"/>
      <name val="Arial"/>
      <family val="2"/>
    </font>
    <font>
      <sz val="7"/>
      <name val="Arial"/>
      <family val="2"/>
    </font>
    <font>
      <sz val="10"/>
      <color theme="0" tint="-0.499984740745262"/>
      <name val="Symbol"/>
      <family val="1"/>
      <charset val="2"/>
    </font>
    <font>
      <sz val="7"/>
      <color indexed="23"/>
      <name val="Arial"/>
      <family val="2"/>
    </font>
    <font>
      <sz val="10"/>
      <color indexed="23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theme="0" tint="-0.499984740745262"/>
      </top>
      <bottom style="thin">
        <color auto="1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/>
      <top style="thin">
        <color auto="1"/>
      </top>
      <bottom style="thin">
        <color theme="0" tint="-0.49998474074526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5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164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Fill="1" applyBorder="1"/>
    <xf numFmtId="164" fontId="0" fillId="0" borderId="2" xfId="0" applyNumberFormat="1" applyBorder="1"/>
    <xf numFmtId="0" fontId="0" fillId="0" borderId="2" xfId="0" applyBorder="1"/>
    <xf numFmtId="0" fontId="0" fillId="0" borderId="2" xfId="0" applyBorder="1" applyAlignment="1">
      <alignment horizontal="center"/>
    </xf>
    <xf numFmtId="0" fontId="1" fillId="0" borderId="2" xfId="0" applyFont="1" applyFill="1" applyBorder="1"/>
    <xf numFmtId="0" fontId="0" fillId="0" borderId="2" xfId="0" applyFill="1" applyBorder="1"/>
    <xf numFmtId="0" fontId="0" fillId="0" borderId="2" xfId="0" applyFill="1" applyBorder="1" applyAlignment="1">
      <alignment horizontal="center"/>
    </xf>
    <xf numFmtId="164" fontId="0" fillId="0" borderId="3" xfId="0" applyNumberFormat="1" applyBorder="1"/>
    <xf numFmtId="2" fontId="0" fillId="0" borderId="3" xfId="0" applyNumberFormat="1" applyBorder="1"/>
    <xf numFmtId="0" fontId="0" fillId="0" borderId="3" xfId="0" applyBorder="1"/>
    <xf numFmtId="0" fontId="0" fillId="0" borderId="3" xfId="0" applyBorder="1" applyAlignment="1">
      <alignment horizontal="center"/>
    </xf>
    <xf numFmtId="0" fontId="0" fillId="0" borderId="3" xfId="0" applyFill="1" applyBorder="1"/>
    <xf numFmtId="0" fontId="0" fillId="0" borderId="3" xfId="0" applyFill="1" applyBorder="1" applyAlignment="1">
      <alignment horizontal="center"/>
    </xf>
    <xf numFmtId="0" fontId="1" fillId="0" borderId="3" xfId="0" applyFont="1" applyFill="1" applyBorder="1"/>
    <xf numFmtId="164" fontId="0" fillId="0" borderId="4" xfId="0" applyNumberFormat="1" applyBorder="1"/>
    <xf numFmtId="0" fontId="0" fillId="0" borderId="4" xfId="0" applyBorder="1"/>
    <xf numFmtId="0" fontId="0" fillId="0" borderId="4" xfId="0" applyBorder="1" applyAlignment="1">
      <alignment horizontal="center"/>
    </xf>
    <xf numFmtId="0" fontId="0" fillId="0" borderId="4" xfId="0" applyFill="1" applyBorder="1"/>
    <xf numFmtId="0" fontId="0" fillId="0" borderId="4" xfId="0" applyFill="1" applyBorder="1" applyAlignment="1">
      <alignment horizontal="center"/>
    </xf>
    <xf numFmtId="0" fontId="1" fillId="0" borderId="4" xfId="0" applyFont="1" applyFill="1" applyBorder="1"/>
    <xf numFmtId="0" fontId="1" fillId="0" borderId="0" xfId="0" quotePrefix="1" applyFont="1"/>
    <xf numFmtId="0" fontId="1" fillId="0" borderId="0" xfId="0" applyFont="1"/>
    <xf numFmtId="0" fontId="1" fillId="0" borderId="0" xfId="0" applyFont="1" applyFill="1" applyBorder="1"/>
    <xf numFmtId="2" fontId="0" fillId="0" borderId="0" xfId="0" applyNumberFormat="1"/>
    <xf numFmtId="2" fontId="2" fillId="0" borderId="0" xfId="0" applyNumberFormat="1" applyFont="1" applyFill="1" applyBorder="1" applyAlignment="1">
      <alignment horizontal="right"/>
    </xf>
    <xf numFmtId="165" fontId="2" fillId="0" borderId="5" xfId="0" applyNumberFormat="1" applyFont="1" applyFill="1" applyBorder="1" applyAlignment="1">
      <alignment horizontal="right"/>
    </xf>
    <xf numFmtId="0" fontId="2" fillId="0" borderId="5" xfId="0" applyFont="1" applyFill="1" applyBorder="1" applyAlignment="1">
      <alignment horizontal="left"/>
    </xf>
    <xf numFmtId="0" fontId="2" fillId="0" borderId="0" xfId="0" applyFont="1" applyBorder="1"/>
    <xf numFmtId="0" fontId="2" fillId="0" borderId="5" xfId="0" quotePrefix="1" applyFont="1" applyFill="1" applyBorder="1" applyAlignment="1">
      <alignment horizontal="left"/>
    </xf>
    <xf numFmtId="2" fontId="1" fillId="0" borderId="0" xfId="0" applyNumberFormat="1" applyFont="1" applyFill="1" applyBorder="1" applyAlignment="1">
      <alignment horizontal="right"/>
    </xf>
    <xf numFmtId="167" fontId="2" fillId="0" borderId="6" xfId="0" applyNumberFormat="1" applyFont="1" applyFill="1" applyBorder="1" applyAlignment="1">
      <alignment horizontal="center" vertical="center" wrapText="1"/>
    </xf>
    <xf numFmtId="2" fontId="1" fillId="0" borderId="5" xfId="0" applyNumberFormat="1" applyFont="1" applyFill="1" applyBorder="1" applyAlignment="1">
      <alignment horizontal="right"/>
    </xf>
    <xf numFmtId="167" fontId="2" fillId="0" borderId="0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Border="1"/>
    <xf numFmtId="0" fontId="1" fillId="0" borderId="0" xfId="0" applyFont="1" applyBorder="1" applyAlignment="1">
      <alignment horizontal="center"/>
    </xf>
    <xf numFmtId="0" fontId="1" fillId="0" borderId="0" xfId="0" quotePrefix="1" applyFont="1" applyBorder="1" applyAlignment="1">
      <alignment horizontal="center"/>
    </xf>
    <xf numFmtId="1" fontId="1" fillId="0" borderId="0" xfId="0" applyNumberFormat="1" applyFont="1" applyFill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2" fontId="1" fillId="0" borderId="6" xfId="0" applyNumberFormat="1" applyFont="1" applyFill="1" applyBorder="1" applyAlignment="1">
      <alignment horizontal="right"/>
    </xf>
    <xf numFmtId="2" fontId="2" fillId="0" borderId="0" xfId="0" applyNumberFormat="1" applyFont="1" applyFill="1" applyBorder="1"/>
    <xf numFmtId="0" fontId="1" fillId="2" borderId="0" xfId="0" applyFont="1" applyFill="1" applyBorder="1" applyAlignment="1">
      <alignment horizontal="center"/>
    </xf>
    <xf numFmtId="0" fontId="1" fillId="2" borderId="0" xfId="0" quotePrefix="1" applyFont="1" applyFill="1" applyBorder="1" applyAlignment="1">
      <alignment horizontal="center"/>
    </xf>
    <xf numFmtId="1" fontId="1" fillId="2" borderId="0" xfId="0" applyNumberFormat="1" applyFont="1" applyFill="1" applyBorder="1" applyAlignment="1">
      <alignment horizontal="center"/>
    </xf>
    <xf numFmtId="0" fontId="3" fillId="2" borderId="0" xfId="0" applyFont="1" applyFill="1" applyBorder="1" applyAlignment="1">
      <alignment horizontal="left"/>
    </xf>
    <xf numFmtId="0" fontId="4" fillId="2" borderId="0" xfId="0" applyFont="1" applyFill="1" applyBorder="1"/>
    <xf numFmtId="167" fontId="2" fillId="0" borderId="7" xfId="0" applyNumberFormat="1" applyFont="1" applyFill="1" applyBorder="1" applyAlignment="1">
      <alignment horizontal="center" vertical="center" wrapText="1"/>
    </xf>
    <xf numFmtId="2" fontId="2" fillId="0" borderId="8" xfId="0" applyNumberFormat="1" applyFont="1" applyFill="1" applyBorder="1"/>
    <xf numFmtId="2" fontId="2" fillId="0" borderId="5" xfId="0" applyNumberFormat="1" applyFont="1" applyFill="1" applyBorder="1"/>
    <xf numFmtId="2" fontId="2" fillId="0" borderId="9" xfId="0" applyNumberFormat="1" applyFont="1" applyFill="1" applyBorder="1"/>
    <xf numFmtId="2" fontId="2" fillId="0" borderId="10" xfId="0" applyNumberFormat="1" applyFont="1" applyFill="1" applyBorder="1"/>
    <xf numFmtId="0" fontId="0" fillId="0" borderId="0" xfId="0" applyFill="1"/>
    <xf numFmtId="168" fontId="2" fillId="0" borderId="0" xfId="0" applyNumberFormat="1" applyFont="1" applyFill="1" applyBorder="1"/>
    <xf numFmtId="0" fontId="0" fillId="0" borderId="0" xfId="0" applyFill="1" applyAlignment="1">
      <alignment horizontal="center"/>
    </xf>
    <xf numFmtId="0" fontId="1" fillId="0" borderId="0" xfId="0" quotePrefix="1" applyFont="1" applyFill="1"/>
    <xf numFmtId="0" fontId="0" fillId="0" borderId="0" xfId="0" applyFill="1" applyBorder="1"/>
    <xf numFmtId="0" fontId="2" fillId="0" borderId="0" xfId="0" applyFont="1" applyFill="1" applyBorder="1" applyAlignment="1">
      <alignment horizontal="left"/>
    </xf>
    <xf numFmtId="166" fontId="2" fillId="3" borderId="5" xfId="0" applyNumberFormat="1" applyFont="1" applyFill="1" applyBorder="1" applyAlignment="1">
      <alignment horizontal="right"/>
    </xf>
    <xf numFmtId="2" fontId="5" fillId="3" borderId="5" xfId="0" applyNumberFormat="1" applyFont="1" applyFill="1" applyBorder="1" applyAlignment="1">
      <alignment horizontal="right"/>
    </xf>
    <xf numFmtId="2" fontId="2" fillId="3" borderId="5" xfId="0" applyNumberFormat="1" applyFont="1" applyFill="1" applyBorder="1" applyAlignment="1">
      <alignment horizontal="right"/>
    </xf>
    <xf numFmtId="0" fontId="2" fillId="3" borderId="5" xfId="0" applyFont="1" applyFill="1" applyBorder="1" applyAlignment="1">
      <alignment horizontal="center"/>
    </xf>
    <xf numFmtId="0" fontId="2" fillId="3" borderId="5" xfId="0" quotePrefix="1" applyFont="1" applyFill="1" applyBorder="1" applyAlignment="1">
      <alignment horizontal="right"/>
    </xf>
    <xf numFmtId="0" fontId="2" fillId="3" borderId="5" xfId="0" applyFont="1" applyFill="1" applyBorder="1" applyAlignment="1">
      <alignment horizontal="right"/>
    </xf>
    <xf numFmtId="0" fontId="2" fillId="0" borderId="0" xfId="0" applyFont="1" applyFill="1" applyBorder="1"/>
    <xf numFmtId="0" fontId="2" fillId="3" borderId="5" xfId="0" applyFont="1" applyFill="1" applyBorder="1" applyAlignment="1">
      <alignment horizontal="left"/>
    </xf>
    <xf numFmtId="165" fontId="1" fillId="0" borderId="12" xfId="0" applyNumberFormat="1" applyFont="1" applyFill="1" applyBorder="1" applyAlignment="1">
      <alignment horizontal="right"/>
    </xf>
    <xf numFmtId="165" fontId="1" fillId="0" borderId="5" xfId="0" applyNumberFormat="1" applyFont="1" applyFill="1" applyBorder="1" applyAlignment="1">
      <alignment horizontal="right"/>
    </xf>
    <xf numFmtId="0" fontId="1" fillId="0" borderId="5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right"/>
    </xf>
    <xf numFmtId="0" fontId="1" fillId="0" borderId="0" xfId="0" applyFont="1" applyFill="1" applyBorder="1" applyAlignment="1">
      <alignment horizontal="right"/>
    </xf>
    <xf numFmtId="0" fontId="1" fillId="0" borderId="5" xfId="0" applyFont="1" applyFill="1" applyBorder="1" applyAlignment="1">
      <alignment horizontal="left"/>
    </xf>
    <xf numFmtId="167" fontId="2" fillId="0" borderId="5" xfId="0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2" fontId="4" fillId="2" borderId="0" xfId="0" applyNumberFormat="1" applyFont="1" applyFill="1" applyBorder="1" applyAlignment="1">
      <alignment horizontal="right"/>
    </xf>
    <xf numFmtId="0" fontId="7" fillId="2" borderId="0" xfId="0" applyFont="1" applyFill="1" applyBorder="1" applyAlignment="1">
      <alignment horizontal="center"/>
    </xf>
    <xf numFmtId="0" fontId="4" fillId="2" borderId="0" xfId="0" applyFont="1" applyFill="1" applyBorder="1" applyAlignment="1">
      <alignment vertical="center" wrapText="1"/>
    </xf>
    <xf numFmtId="0" fontId="7" fillId="2" borderId="0" xfId="0" applyFont="1" applyFill="1" applyBorder="1"/>
    <xf numFmtId="1" fontId="7" fillId="2" borderId="0" xfId="0" applyNumberFormat="1" applyFont="1" applyFill="1" applyBorder="1" applyAlignment="1">
      <alignment horizontal="center"/>
    </xf>
    <xf numFmtId="0" fontId="8" fillId="2" borderId="0" xfId="0" applyFont="1" applyFill="1" applyBorder="1" applyAlignment="1">
      <alignment horizontal="left"/>
    </xf>
    <xf numFmtId="164" fontId="1" fillId="0" borderId="0" xfId="0" applyNumberFormat="1" applyFont="1" applyFill="1" applyBorder="1" applyAlignment="1">
      <alignment horizontal="right"/>
    </xf>
    <xf numFmtId="1" fontId="1" fillId="0" borderId="0" xfId="0" applyNumberFormat="1" applyFont="1" applyFill="1" applyBorder="1" applyAlignment="1">
      <alignment horizontal="right"/>
    </xf>
    <xf numFmtId="165" fontId="1" fillId="0" borderId="0" xfId="0" applyNumberFormat="1" applyFont="1" applyFill="1" applyBorder="1" applyAlignment="1">
      <alignment horizontal="right"/>
    </xf>
    <xf numFmtId="2" fontId="9" fillId="0" borderId="0" xfId="0" applyNumberFormat="1" applyFont="1" applyFill="1" applyBorder="1" applyAlignment="1">
      <alignment horizontal="right"/>
    </xf>
    <xf numFmtId="0" fontId="1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164" fontId="1" fillId="0" borderId="5" xfId="0" applyNumberFormat="1" applyFont="1" applyFill="1" applyBorder="1" applyAlignment="1">
      <alignment horizontal="right"/>
    </xf>
    <xf numFmtId="1" fontId="1" fillId="0" borderId="5" xfId="0" applyNumberFormat="1" applyFont="1" applyFill="1" applyBorder="1" applyAlignment="1">
      <alignment horizontal="right"/>
    </xf>
    <xf numFmtId="2" fontId="10" fillId="0" borderId="5" xfId="0" applyNumberFormat="1" applyFont="1" applyFill="1" applyBorder="1" applyAlignment="1">
      <alignment horizontal="right"/>
    </xf>
    <xf numFmtId="0" fontId="7" fillId="4" borderId="0" xfId="0" applyFont="1" applyFill="1" applyAlignment="1">
      <alignment horizontal="center"/>
    </xf>
    <xf numFmtId="0" fontId="0" fillId="0" borderId="12" xfId="0" applyFill="1" applyBorder="1"/>
    <xf numFmtId="0" fontId="4" fillId="0" borderId="5" xfId="0" applyFont="1" applyFill="1" applyBorder="1" applyAlignment="1">
      <alignment horizontal="center" vertical="center" wrapText="1"/>
    </xf>
    <xf numFmtId="4" fontId="2" fillId="0" borderId="0" xfId="0" applyNumberFormat="1" applyFont="1" applyBorder="1"/>
    <xf numFmtId="0" fontId="2" fillId="0" borderId="0" xfId="0" applyFont="1" applyFill="1" applyBorder="1" applyAlignment="1">
      <alignment horizontal="center" vertical="center" wrapText="1"/>
    </xf>
    <xf numFmtId="4" fontId="2" fillId="0" borderId="0" xfId="0" applyNumberFormat="1" applyFont="1" applyFill="1" applyBorder="1"/>
    <xf numFmtId="1" fontId="1" fillId="0" borderId="5" xfId="0" quotePrefix="1" applyNumberFormat="1" applyFont="1" applyFill="1" applyBorder="1" applyAlignment="1">
      <alignment horizontal="right"/>
    </xf>
    <xf numFmtId="1" fontId="1" fillId="0" borderId="5" xfId="0" applyNumberFormat="1" applyFont="1" applyFill="1" applyBorder="1" applyAlignment="1">
      <alignment horizontal="center"/>
    </xf>
    <xf numFmtId="0" fontId="1" fillId="0" borderId="5" xfId="0" applyFont="1" applyFill="1" applyBorder="1" applyAlignment="1"/>
    <xf numFmtId="0" fontId="0" fillId="0" borderId="5" xfId="0" applyFill="1" applyBorder="1"/>
    <xf numFmtId="0" fontId="2" fillId="0" borderId="5" xfId="0" applyFont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left"/>
    </xf>
    <xf numFmtId="165" fontId="2" fillId="0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center"/>
    </xf>
    <xf numFmtId="0" fontId="2" fillId="0" borderId="0" xfId="0" quotePrefix="1" applyFont="1" applyFill="1" applyBorder="1" applyAlignment="1">
      <alignment horizontal="right"/>
    </xf>
    <xf numFmtId="0" fontId="2" fillId="0" borderId="0" xfId="0" applyFont="1" applyFill="1" applyBorder="1" applyAlignment="1">
      <alignment horizontal="right"/>
    </xf>
    <xf numFmtId="2" fontId="2" fillId="0" borderId="5" xfId="0" applyNumberFormat="1" applyFont="1" applyFill="1" applyBorder="1" applyAlignment="1">
      <alignment horizontal="right"/>
    </xf>
    <xf numFmtId="0" fontId="2" fillId="0" borderId="5" xfId="0" applyFont="1" applyFill="1" applyBorder="1" applyAlignment="1">
      <alignment horizontal="center"/>
    </xf>
    <xf numFmtId="0" fontId="2" fillId="0" borderId="5" xfId="0" quotePrefix="1" applyFont="1" applyFill="1" applyBorder="1" applyAlignment="1">
      <alignment horizontal="right"/>
    </xf>
    <xf numFmtId="0" fontId="2" fillId="0" borderId="5" xfId="0" applyFont="1" applyFill="1" applyBorder="1" applyAlignment="1">
      <alignment horizontal="right"/>
    </xf>
    <xf numFmtId="2" fontId="1" fillId="0" borderId="5" xfId="0" quotePrefix="1" applyNumberFormat="1" applyFon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9" fontId="1" fillId="0" borderId="5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Fill="1" applyBorder="1" applyAlignment="1">
      <alignment horizontal="right"/>
    </xf>
    <xf numFmtId="0" fontId="5" fillId="0" borderId="0" xfId="0" applyFont="1" applyFill="1" applyBorder="1" applyAlignment="1">
      <alignment horizontal="center" vertical="center" wrapText="1"/>
    </xf>
    <xf numFmtId="0" fontId="2" fillId="0" borderId="13" xfId="0" applyFont="1" applyFill="1" applyBorder="1"/>
    <xf numFmtId="0" fontId="2" fillId="0" borderId="0" xfId="0" quotePrefix="1" applyFont="1" applyFill="1" applyAlignment="1">
      <alignment horizontal="right"/>
    </xf>
    <xf numFmtId="0" fontId="0" fillId="0" borderId="0" xfId="0" applyFill="1" applyBorder="1" applyAlignment="1">
      <alignment horizontal="center"/>
    </xf>
    <xf numFmtId="0" fontId="1" fillId="0" borderId="0" xfId="0" applyFont="1" applyFill="1"/>
    <xf numFmtId="2" fontId="0" fillId="0" borderId="0" xfId="0" applyNumberFormat="1" applyFill="1" applyBorder="1" applyAlignment="1">
      <alignment horizontal="right"/>
    </xf>
    <xf numFmtId="0" fontId="1" fillId="0" borderId="5" xfId="0" quotePrefix="1" applyFont="1" applyFill="1" applyBorder="1" applyAlignment="1">
      <alignment horizontal="right"/>
    </xf>
    <xf numFmtId="0" fontId="1" fillId="0" borderId="0" xfId="0" applyFont="1" applyFill="1" applyAlignment="1">
      <alignment horizontal="center"/>
    </xf>
    <xf numFmtId="0" fontId="1" fillId="0" borderId="5" xfId="0" quotePrefix="1" applyFont="1" applyFill="1" applyBorder="1" applyAlignment="1">
      <alignment horizontal="center"/>
    </xf>
    <xf numFmtId="0" fontId="9" fillId="0" borderId="0" xfId="0" applyFont="1" applyFill="1"/>
    <xf numFmtId="0" fontId="9" fillId="0" borderId="5" xfId="0" applyFont="1" applyFill="1" applyBorder="1" applyAlignment="1">
      <alignment horizontal="center"/>
    </xf>
    <xf numFmtId="0" fontId="9" fillId="0" borderId="5" xfId="0" applyFont="1" applyFill="1" applyBorder="1" applyAlignment="1">
      <alignment horizontal="right"/>
    </xf>
    <xf numFmtId="0" fontId="12" fillId="0" borderId="0" xfId="0" applyFont="1" applyFill="1" applyBorder="1" applyAlignment="1">
      <alignment horizontal="left"/>
    </xf>
    <xf numFmtId="0" fontId="9" fillId="0" borderId="5" xfId="0" applyFont="1" applyFill="1" applyBorder="1" applyAlignment="1">
      <alignment horizontal="left"/>
    </xf>
    <xf numFmtId="0" fontId="5" fillId="0" borderId="13" xfId="0" applyFont="1" applyFill="1" applyBorder="1" applyAlignment="1">
      <alignment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1" fillId="0" borderId="0" xfId="0" quotePrefix="1" applyFont="1" applyFill="1" applyBorder="1" applyAlignment="1">
      <alignment horizontal="center"/>
    </xf>
    <xf numFmtId="167" fontId="2" fillId="0" borderId="11" xfId="0" applyNumberFormat="1" applyFont="1" applyFill="1" applyBorder="1" applyAlignment="1">
      <alignment horizontal="center" vertical="center" wrapText="1"/>
    </xf>
    <xf numFmtId="167" fontId="2" fillId="0" borderId="7" xfId="0" applyNumberFormat="1" applyFont="1" applyFill="1" applyBorder="1" applyAlignment="1">
      <alignment horizontal="center" vertical="center" wrapText="1"/>
    </xf>
    <xf numFmtId="2" fontId="1" fillId="5" borderId="6" xfId="0" applyNumberFormat="1" applyFont="1" applyFill="1" applyBorder="1" applyAlignment="1">
      <alignment horizontal="right"/>
    </xf>
    <xf numFmtId="2" fontId="1" fillId="6" borderId="6" xfId="0" applyNumberFormat="1" applyFont="1" applyFill="1" applyBorder="1" applyAlignment="1">
      <alignment horizontal="right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salvat/Downloads/ANNEX_I_Trebal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nex 1_OLD"/>
      <sheetName val="Annex_1_treball"/>
      <sheetName val="FORMAT COMPRES"/>
      <sheetName val="Conveni colectiu"/>
      <sheetName val="QF"/>
      <sheetName val="IPC"/>
    </sheetNames>
    <sheetDataSet>
      <sheetData sheetId="0">
        <row r="47">
          <cell r="F47">
            <v>603</v>
          </cell>
        </row>
      </sheetData>
      <sheetData sheetId="1"/>
      <sheetData sheetId="2"/>
      <sheetData sheetId="3">
        <row r="6">
          <cell r="B6">
            <v>1</v>
          </cell>
          <cell r="C6" t="str">
            <v>Tècnics/ques</v>
          </cell>
          <cell r="D6">
            <v>15.096000000000002</v>
          </cell>
          <cell r="E6">
            <v>12.2</v>
          </cell>
          <cell r="F6">
            <v>28804.371600000002</v>
          </cell>
          <cell r="G6">
            <v>22.961199075428571</v>
          </cell>
        </row>
        <row r="7">
          <cell r="B7">
            <v>2</v>
          </cell>
          <cell r="C7" t="str">
            <v>Tècnics/ques</v>
          </cell>
          <cell r="D7">
            <v>14.1372</v>
          </cell>
          <cell r="E7">
            <v>11.74</v>
          </cell>
          <cell r="F7">
            <v>26992.382399999999</v>
          </cell>
          <cell r="G7">
            <v>21.51678482742857</v>
          </cell>
        </row>
        <row r="8">
          <cell r="B8">
            <v>3</v>
          </cell>
          <cell r="C8" t="str">
            <v>Tècnics/ques</v>
          </cell>
          <cell r="D8">
            <v>13.0458</v>
          </cell>
          <cell r="E8">
            <v>11.26</v>
          </cell>
          <cell r="F8">
            <v>24901.239600000001</v>
          </cell>
          <cell r="G8">
            <v>19.849845281142859</v>
          </cell>
        </row>
        <row r="9">
          <cell r="B9">
            <v>3</v>
          </cell>
          <cell r="C9" t="str">
            <v>Operaris/es</v>
          </cell>
        </row>
        <row r="10">
          <cell r="B10">
            <v>3</v>
          </cell>
          <cell r="C10" t="str">
            <v>Empleats/des</v>
          </cell>
        </row>
        <row r="11">
          <cell r="B11">
            <v>4</v>
          </cell>
          <cell r="C11" t="str">
            <v>Operaris/es</v>
          </cell>
          <cell r="D11">
            <v>12.525599999999999</v>
          </cell>
          <cell r="E11">
            <v>10.79</v>
          </cell>
          <cell r="F11">
            <v>23924.691600000002</v>
          </cell>
          <cell r="G11">
            <v>19.071397018285715</v>
          </cell>
        </row>
        <row r="12">
          <cell r="B12">
            <v>4</v>
          </cell>
          <cell r="C12" t="str">
            <v>Empleats/des</v>
          </cell>
        </row>
        <row r="13">
          <cell r="B13">
            <v>5</v>
          </cell>
          <cell r="C13" t="str">
            <v>Operaris/es</v>
          </cell>
          <cell r="D13">
            <v>12.0768</v>
          </cell>
          <cell r="E13">
            <v>10.33</v>
          </cell>
          <cell r="F13">
            <v>23051.898000000001</v>
          </cell>
          <cell r="G13">
            <v>18.375655834285716</v>
          </cell>
        </row>
        <row r="14">
          <cell r="B14">
            <v>5</v>
          </cell>
          <cell r="C14" t="str">
            <v>Empleats/des</v>
          </cell>
        </row>
        <row r="15">
          <cell r="B15">
            <v>6</v>
          </cell>
          <cell r="C15" t="str">
            <v>Operaris/es</v>
          </cell>
          <cell r="D15">
            <v>11.7096</v>
          </cell>
          <cell r="E15">
            <v>9.85</v>
          </cell>
          <cell r="F15">
            <v>22368.8652</v>
          </cell>
          <cell r="G15">
            <v>17.831181116571429</v>
          </cell>
        </row>
        <row r="16">
          <cell r="B16">
            <v>6</v>
          </cell>
          <cell r="C16" t="str">
            <v>Empleats/des</v>
          </cell>
        </row>
        <row r="17">
          <cell r="B17">
            <v>7</v>
          </cell>
          <cell r="C17" t="str">
            <v>Operaris/es</v>
          </cell>
          <cell r="D17">
            <v>11.587199999999999</v>
          </cell>
          <cell r="E17">
            <v>9.39</v>
          </cell>
          <cell r="F17">
            <v>22117.6086</v>
          </cell>
          <cell r="G17">
            <v>17.630893712571428</v>
          </cell>
        </row>
        <row r="18">
          <cell r="B18">
            <v>7</v>
          </cell>
          <cell r="C18" t="str">
            <v>Empleats/des</v>
          </cell>
        </row>
      </sheetData>
      <sheetData sheetId="4"/>
      <sheetData sheetId="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AD124"/>
  <sheetViews>
    <sheetView showGridLines="0" tabSelected="1" topLeftCell="C1" zoomScale="70" zoomScaleNormal="70" workbookViewId="0">
      <selection activeCell="P21" sqref="P21"/>
    </sheetView>
  </sheetViews>
  <sheetFormatPr baseColWidth="10" defaultRowHeight="12.75" x14ac:dyDescent="0.2"/>
  <cols>
    <col min="1" max="1" width="4.140625" customWidth="1"/>
    <col min="2" max="2" width="83.28515625" bestFit="1" customWidth="1"/>
    <col min="3" max="3" width="1.7109375" style="2" customWidth="1"/>
    <col min="4" max="6" width="16.140625" customWidth="1"/>
    <col min="7" max="9" width="16.140625" style="1" customWidth="1"/>
    <col min="10" max="12" width="16.140625" customWidth="1"/>
    <col min="13" max="13" width="2.28515625" customWidth="1"/>
    <col min="14" max="14" width="14" customWidth="1"/>
    <col min="15" max="15" width="2" customWidth="1"/>
    <col min="16" max="25" width="12.7109375" customWidth="1"/>
    <col min="26" max="26" width="1.42578125" customWidth="1"/>
    <col min="27" max="30" width="12.28515625" customWidth="1"/>
  </cols>
  <sheetData>
    <row r="2" spans="2:30" ht="14.25" customHeight="1" x14ac:dyDescent="0.2"/>
    <row r="3" spans="2:30" s="57" customFormat="1" x14ac:dyDescent="0.2">
      <c r="B3" s="62"/>
      <c r="C3" s="91"/>
      <c r="G3" s="59"/>
      <c r="H3" s="140"/>
      <c r="I3" s="90"/>
      <c r="J3" s="90"/>
      <c r="K3" s="90"/>
      <c r="L3" s="30"/>
      <c r="M3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/>
    </row>
    <row r="4" spans="2:30" s="57" customFormat="1" ht="13.5" customHeight="1" x14ac:dyDescent="0.2">
      <c r="B4" s="51" t="s">
        <v>105</v>
      </c>
      <c r="C4" s="85"/>
      <c r="D4" s="81"/>
      <c r="E4" s="81"/>
      <c r="F4" s="84"/>
      <c r="G4" s="83"/>
      <c r="H4" s="82"/>
      <c r="I4" s="82"/>
      <c r="J4" s="81"/>
      <c r="K4" s="81"/>
      <c r="L4" s="80"/>
      <c r="M4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/>
    </row>
    <row r="5" spans="2:30" s="57" customFormat="1" x14ac:dyDescent="0.2">
      <c r="C5" s="61"/>
      <c r="G5" s="138"/>
      <c r="H5" s="139"/>
      <c r="I5" s="138"/>
      <c r="M5"/>
      <c r="AD5"/>
    </row>
    <row r="6" spans="2:30" s="57" customFormat="1" ht="38.25" x14ac:dyDescent="0.2">
      <c r="C6" s="61"/>
      <c r="D6" s="79" t="s">
        <v>104</v>
      </c>
      <c r="E6" s="79" t="s">
        <v>36</v>
      </c>
      <c r="F6" s="79" t="s">
        <v>103</v>
      </c>
      <c r="G6" s="100" t="s">
        <v>44</v>
      </c>
      <c r="H6" s="100" t="s">
        <v>43</v>
      </c>
      <c r="I6" s="100" t="s">
        <v>42</v>
      </c>
      <c r="J6" s="79" t="s">
        <v>35</v>
      </c>
      <c r="K6" s="79" t="s">
        <v>34</v>
      </c>
      <c r="L6" s="77" t="s">
        <v>33</v>
      </c>
      <c r="M6"/>
      <c r="O6" s="38"/>
      <c r="P6" s="36" t="s">
        <v>25</v>
      </c>
      <c r="Q6" s="36" t="s">
        <v>24</v>
      </c>
      <c r="R6" s="36" t="s">
        <v>23</v>
      </c>
      <c r="S6" s="36" t="s">
        <v>22</v>
      </c>
      <c r="T6" s="36" t="s">
        <v>21</v>
      </c>
      <c r="U6" s="36" t="s">
        <v>20</v>
      </c>
      <c r="V6" s="36" t="s">
        <v>19</v>
      </c>
      <c r="W6" s="36" t="s">
        <v>18</v>
      </c>
      <c r="X6" s="36" t="s">
        <v>17</v>
      </c>
      <c r="Y6" s="36" t="s">
        <v>16</v>
      </c>
      <c r="Z6" s="38"/>
      <c r="AA6" s="36" t="s">
        <v>15</v>
      </c>
      <c r="AB6" s="36" t="s">
        <v>14</v>
      </c>
      <c r="AC6" s="36" t="s">
        <v>13</v>
      </c>
      <c r="AD6"/>
    </row>
    <row r="7" spans="2:30" s="57" customFormat="1" x14ac:dyDescent="0.2">
      <c r="C7" s="61"/>
      <c r="D7" s="79"/>
      <c r="E7" s="79"/>
      <c r="F7" s="79"/>
      <c r="G7" s="98">
        <v>5</v>
      </c>
      <c r="H7" s="98">
        <v>7</v>
      </c>
      <c r="I7" s="98">
        <v>2</v>
      </c>
      <c r="J7" s="79"/>
      <c r="K7" s="79"/>
      <c r="L7" s="77"/>
      <c r="M7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/>
    </row>
    <row r="8" spans="2:30" s="57" customFormat="1" x14ac:dyDescent="0.2">
      <c r="B8" s="137" t="s">
        <v>102</v>
      </c>
      <c r="C8" s="136"/>
      <c r="D8" s="135" t="s">
        <v>30</v>
      </c>
      <c r="E8" s="135" t="s">
        <v>30</v>
      </c>
      <c r="F8" s="135" t="s">
        <v>30</v>
      </c>
      <c r="G8" s="134" t="s">
        <v>30</v>
      </c>
      <c r="H8" s="134" t="s">
        <v>30</v>
      </c>
      <c r="I8" s="134" t="s">
        <v>30</v>
      </c>
      <c r="J8" s="135" t="s">
        <v>30</v>
      </c>
      <c r="K8" s="37" t="s">
        <v>30</v>
      </c>
      <c r="L8" s="72">
        <v>0</v>
      </c>
      <c r="M8"/>
      <c r="N8" s="88"/>
      <c r="O8" s="89"/>
      <c r="P8" s="37" t="s">
        <v>30</v>
      </c>
      <c r="Q8" s="72" t="s">
        <v>30</v>
      </c>
      <c r="R8" s="37" t="s">
        <v>30</v>
      </c>
      <c r="S8" s="72" t="s">
        <v>30</v>
      </c>
      <c r="T8" s="37" t="s">
        <v>30</v>
      </c>
      <c r="U8" s="72" t="s">
        <v>30</v>
      </c>
      <c r="V8" s="37" t="s">
        <v>30</v>
      </c>
      <c r="W8" s="72" t="s">
        <v>30</v>
      </c>
      <c r="X8" s="72" t="s">
        <v>30</v>
      </c>
      <c r="Y8" s="72" t="s">
        <v>30</v>
      </c>
      <c r="Z8" s="35"/>
      <c r="AA8" s="37" t="s">
        <v>30</v>
      </c>
      <c r="AB8" s="37" t="s">
        <v>30</v>
      </c>
      <c r="AC8" s="37" t="s">
        <v>30</v>
      </c>
      <c r="AD8"/>
    </row>
    <row r="9" spans="2:30" s="57" customFormat="1" x14ac:dyDescent="0.2">
      <c r="B9" s="76" t="s">
        <v>101</v>
      </c>
      <c r="C9" s="91"/>
      <c r="D9" s="74">
        <v>15</v>
      </c>
      <c r="E9" s="74" t="s">
        <v>30</v>
      </c>
      <c r="F9" s="74">
        <f>R9</f>
        <v>30</v>
      </c>
      <c r="G9" s="73">
        <v>1</v>
      </c>
      <c r="H9" s="73" t="s">
        <v>30</v>
      </c>
      <c r="I9" s="73">
        <v>1</v>
      </c>
      <c r="J9" s="72">
        <f>28/1.19</f>
        <v>23.529411764705884</v>
      </c>
      <c r="K9" s="37">
        <f>L9/D9</f>
        <v>103.31429308813446</v>
      </c>
      <c r="L9" s="72">
        <f>D9*(2*G9*VLOOKUP($G$7,'[1]Conveni colectiu'!$B$6:$G$18,6,0)+2*I9*VLOOKUP($I$7,'[1]Conveni colectiu'!$B$6:$G$18,6,0)+J9)</f>
        <v>1549.7143963220169</v>
      </c>
      <c r="M9"/>
      <c r="N9" s="88"/>
      <c r="O9" s="35"/>
      <c r="P9" s="94">
        <v>0</v>
      </c>
      <c r="Q9" s="72">
        <v>0</v>
      </c>
      <c r="R9" s="94">
        <f>2*(G9)*D9</f>
        <v>30</v>
      </c>
      <c r="S9" s="72">
        <f>D9*(2*G9*VLOOKUP($G$7,'[1]Conveni colectiu'!$B$6:$G$18,6,0))</f>
        <v>551.26967502857144</v>
      </c>
      <c r="T9" s="94">
        <v>0</v>
      </c>
      <c r="U9" s="72">
        <v>0</v>
      </c>
      <c r="V9" s="94">
        <f>2*(I9)*D9</f>
        <v>30</v>
      </c>
      <c r="W9" s="72">
        <f>V9*VLOOKUP($I$7,'[1]Conveni colectiu'!$B$6:$G$18,6,0)</f>
        <v>645.50354482285707</v>
      </c>
      <c r="X9" s="72">
        <v>0</v>
      </c>
      <c r="Y9" s="72">
        <f>L9-AB9</f>
        <v>352.94117647058829</v>
      </c>
      <c r="Z9" s="35"/>
      <c r="AA9" s="94">
        <f>SUM(R9,T9,V9,P9)</f>
        <v>60</v>
      </c>
      <c r="AB9" s="72">
        <f>SUM(S9,U9,W9,Q9)</f>
        <v>1196.7732198514286</v>
      </c>
      <c r="AC9" s="72">
        <f>SUM(X9:Y9)</f>
        <v>352.94117647058829</v>
      </c>
      <c r="AD9"/>
    </row>
    <row r="10" spans="2:30" s="133" customFormat="1" x14ac:dyDescent="0.2">
      <c r="B10" s="137" t="s">
        <v>100</v>
      </c>
      <c r="C10" s="136"/>
      <c r="D10" s="135" t="s">
        <v>30</v>
      </c>
      <c r="E10" s="135" t="s">
        <v>30</v>
      </c>
      <c r="F10" s="135" t="s">
        <v>30</v>
      </c>
      <c r="G10" s="134" t="s">
        <v>30</v>
      </c>
      <c r="H10" s="134" t="s">
        <v>30</v>
      </c>
      <c r="I10" s="134" t="s">
        <v>30</v>
      </c>
      <c r="J10" s="72" t="s">
        <v>30</v>
      </c>
      <c r="K10" s="37" t="s">
        <v>30</v>
      </c>
      <c r="L10" s="72">
        <v>0</v>
      </c>
      <c r="M10"/>
      <c r="N10" s="88"/>
      <c r="O10" s="89"/>
      <c r="P10" s="94" t="s">
        <v>30</v>
      </c>
      <c r="Q10" s="72" t="s">
        <v>30</v>
      </c>
      <c r="R10" s="94" t="s">
        <v>30</v>
      </c>
      <c r="S10" s="72" t="s">
        <v>30</v>
      </c>
      <c r="T10" s="94" t="s">
        <v>30</v>
      </c>
      <c r="U10" s="72" t="s">
        <v>30</v>
      </c>
      <c r="V10" s="94" t="s">
        <v>30</v>
      </c>
      <c r="W10" s="72" t="s">
        <v>30</v>
      </c>
      <c r="X10" s="72" t="s">
        <v>30</v>
      </c>
      <c r="Y10" s="72" t="s">
        <v>30</v>
      </c>
      <c r="Z10" s="35"/>
      <c r="AA10" s="94" t="s">
        <v>30</v>
      </c>
      <c r="AB10" s="72" t="s">
        <v>30</v>
      </c>
      <c r="AC10" s="72" t="s">
        <v>30</v>
      </c>
      <c r="AD10"/>
    </row>
    <row r="11" spans="2:30" s="57" customFormat="1" x14ac:dyDescent="0.2">
      <c r="B11" s="76" t="s">
        <v>99</v>
      </c>
      <c r="C11" s="91"/>
      <c r="D11" s="74" t="s">
        <v>30</v>
      </c>
      <c r="E11" s="74" t="s">
        <v>30</v>
      </c>
      <c r="F11" s="74">
        <f>22*12*2</f>
        <v>528</v>
      </c>
      <c r="G11" s="73" t="s">
        <v>30</v>
      </c>
      <c r="H11" s="73">
        <v>1</v>
      </c>
      <c r="I11" s="73" t="s">
        <v>30</v>
      </c>
      <c r="J11" s="72">
        <f>28/1.19</f>
        <v>23.529411764705884</v>
      </c>
      <c r="K11" s="37" t="s">
        <v>30</v>
      </c>
      <c r="L11" s="72">
        <f>F11*H11*VLOOKUP($H$7,'[1]Conveni colectiu'!$B$6:$G$18,6,0)+J11*F11/2</f>
        <v>15520.876586120066</v>
      </c>
      <c r="M11"/>
      <c r="N11" s="88"/>
      <c r="O11" s="35"/>
      <c r="P11" s="94">
        <v>0</v>
      </c>
      <c r="Q11" s="72">
        <v>0</v>
      </c>
      <c r="R11" s="94">
        <v>0</v>
      </c>
      <c r="S11" s="72">
        <v>0</v>
      </c>
      <c r="T11" s="94">
        <f>F11</f>
        <v>528</v>
      </c>
      <c r="U11" s="72">
        <f>F11*H11*VLOOKUP($H$7,'[1]Conveni colectiu'!$B$6:$G$18,6,0)+0.95*F11</f>
        <v>9810.7118802377136</v>
      </c>
      <c r="V11" s="94">
        <v>0</v>
      </c>
      <c r="W11" s="72">
        <v>0</v>
      </c>
      <c r="X11" s="72">
        <v>0</v>
      </c>
      <c r="Y11" s="72">
        <f>L11-AB11</f>
        <v>5710.1647058823528</v>
      </c>
      <c r="Z11" s="35"/>
      <c r="AA11" s="94">
        <f t="shared" ref="AA11:AB16" si="0">SUM(R11,T11,V11,P11)</f>
        <v>528</v>
      </c>
      <c r="AB11" s="72">
        <f t="shared" si="0"/>
        <v>9810.7118802377136</v>
      </c>
      <c r="AC11" s="72">
        <f t="shared" ref="AC11:AC16" si="1">SUM(X11:Y11)</f>
        <v>5710.1647058823528</v>
      </c>
      <c r="AD11"/>
    </row>
    <row r="12" spans="2:30" s="57" customFormat="1" x14ac:dyDescent="0.2">
      <c r="B12" s="76" t="s">
        <v>98</v>
      </c>
      <c r="C12" s="91"/>
      <c r="D12" s="74">
        <f>120*12</f>
        <v>1440</v>
      </c>
      <c r="E12" s="72">
        <f>D12*22/1.19</f>
        <v>26621.848739495799</v>
      </c>
      <c r="F12" s="74">
        <f>22*12*4</f>
        <v>1056</v>
      </c>
      <c r="G12" s="132">
        <v>2</v>
      </c>
      <c r="H12" s="73" t="s">
        <v>30</v>
      </c>
      <c r="I12" s="73" t="s">
        <v>30</v>
      </c>
      <c r="J12" s="72">
        <f>28/1.19</f>
        <v>23.529411764705884</v>
      </c>
      <c r="K12" s="37">
        <f>L12/D12</f>
        <v>54.065807828661065</v>
      </c>
      <c r="L12" s="72">
        <f>F12*G12*VLOOKUP(G7,'[1]Conveni colectiu'!$B$6:$G$18,6,0)+J12*22*12*2+E12</f>
        <v>77854.763273271936</v>
      </c>
      <c r="M12"/>
      <c r="N12" s="88"/>
      <c r="O12" s="35"/>
      <c r="P12" s="94">
        <v>0</v>
      </c>
      <c r="Q12" s="72">
        <v>0</v>
      </c>
      <c r="R12" s="94">
        <f>F12*G12</f>
        <v>2112</v>
      </c>
      <c r="S12" s="72">
        <f>F12*G12*VLOOKUP(G7,'[1]Conveni colectiu'!$B$6:$G$18,6,0)</f>
        <v>38809.38512201143</v>
      </c>
      <c r="T12" s="94">
        <v>0</v>
      </c>
      <c r="U12" s="72">
        <v>0</v>
      </c>
      <c r="V12" s="94">
        <v>0</v>
      </c>
      <c r="W12" s="72">
        <v>0</v>
      </c>
      <c r="X12" s="72">
        <f>E12</f>
        <v>26621.848739495799</v>
      </c>
      <c r="Y12" s="72">
        <f>L12-X12-S12</f>
        <v>12423.529411764706</v>
      </c>
      <c r="Z12" s="35"/>
      <c r="AA12" s="94">
        <f t="shared" si="0"/>
        <v>2112</v>
      </c>
      <c r="AB12" s="72">
        <f t="shared" si="0"/>
        <v>38809.38512201143</v>
      </c>
      <c r="AC12" s="72">
        <f t="shared" si="1"/>
        <v>39045.378151260506</v>
      </c>
      <c r="AD12"/>
    </row>
    <row r="13" spans="2:30" s="57" customFormat="1" x14ac:dyDescent="0.2">
      <c r="B13" s="76" t="s">
        <v>97</v>
      </c>
      <c r="C13" s="61"/>
      <c r="D13" s="74">
        <f>120*12</f>
        <v>1440</v>
      </c>
      <c r="E13" s="72">
        <f>44*D13/1.19</f>
        <v>53243.697478991598</v>
      </c>
      <c r="F13" s="74">
        <f>12*22*4</f>
        <v>1056</v>
      </c>
      <c r="G13" s="132">
        <v>2</v>
      </c>
      <c r="H13" s="73" t="s">
        <v>30</v>
      </c>
      <c r="I13" s="131" t="s">
        <v>30</v>
      </c>
      <c r="J13" s="72">
        <f>28/1.19</f>
        <v>23.529411764705884</v>
      </c>
      <c r="K13" s="37">
        <f>L13/D13</f>
        <v>72.553202786644249</v>
      </c>
      <c r="L13" s="72">
        <f>F13*G13*VLOOKUP(Annex_1_PLEC!$G$7,'[1]Conveni colectiu'!$B$6:$G$18,6,0)+J13*22*12*2+Annex_1_PLEC!E13</f>
        <v>104476.61201276773</v>
      </c>
      <c r="M13"/>
      <c r="N13" s="88"/>
      <c r="O13" s="35"/>
      <c r="P13" s="94">
        <v>0</v>
      </c>
      <c r="Q13" s="72">
        <v>0</v>
      </c>
      <c r="R13" s="94">
        <f>F13*G13</f>
        <v>2112</v>
      </c>
      <c r="S13" s="72">
        <f>F13*G13*VLOOKUP(G7,'[1]Conveni colectiu'!$B$6:$G$18,6,0)</f>
        <v>38809.38512201143</v>
      </c>
      <c r="T13" s="94">
        <v>0</v>
      </c>
      <c r="U13" s="72">
        <v>0</v>
      </c>
      <c r="V13" s="94">
        <v>0</v>
      </c>
      <c r="W13" s="72">
        <v>0</v>
      </c>
      <c r="X13" s="72">
        <f>E13</f>
        <v>53243.697478991598</v>
      </c>
      <c r="Y13" s="72">
        <f>L13-X13-S13</f>
        <v>12423.529411764699</v>
      </c>
      <c r="Z13" s="35"/>
      <c r="AA13" s="94">
        <f t="shared" si="0"/>
        <v>2112</v>
      </c>
      <c r="AB13" s="72">
        <f t="shared" si="0"/>
        <v>38809.38512201143</v>
      </c>
      <c r="AC13" s="72">
        <f t="shared" si="1"/>
        <v>65667.226890756298</v>
      </c>
      <c r="AD13"/>
    </row>
    <row r="14" spans="2:30" s="57" customFormat="1" x14ac:dyDescent="0.2">
      <c r="B14" s="76" t="s">
        <v>96</v>
      </c>
      <c r="C14" s="61"/>
      <c r="D14" s="74" t="s">
        <v>30</v>
      </c>
      <c r="E14" s="74" t="s">
        <v>30</v>
      </c>
      <c r="F14" s="130">
        <f>12*22*1</f>
        <v>264</v>
      </c>
      <c r="G14" s="73" t="s">
        <v>30</v>
      </c>
      <c r="H14" s="73" t="s">
        <v>30</v>
      </c>
      <c r="I14" s="73">
        <v>2</v>
      </c>
      <c r="J14" s="72" t="s">
        <v>30</v>
      </c>
      <c r="K14" s="37" t="s">
        <v>30</v>
      </c>
      <c r="L14" s="72">
        <f>F14*I14*VLOOKUP($I$7,'[1]Conveni colectiu'!B6:G18,6,0)</f>
        <v>11360.862388882284</v>
      </c>
      <c r="M14"/>
      <c r="N14" s="88"/>
      <c r="O14" s="35"/>
      <c r="P14" s="94">
        <v>0</v>
      </c>
      <c r="Q14" s="72">
        <v>0</v>
      </c>
      <c r="R14" s="94">
        <v>0</v>
      </c>
      <c r="S14" s="72">
        <v>0</v>
      </c>
      <c r="T14" s="94">
        <v>0</v>
      </c>
      <c r="U14" s="72">
        <v>0</v>
      </c>
      <c r="V14" s="94">
        <f>F14*I14</f>
        <v>528</v>
      </c>
      <c r="W14" s="72">
        <f>V14*VLOOKUP($I$7,'[1]Conveni colectiu'!B6:G18,6,0)</f>
        <v>11360.862388882284</v>
      </c>
      <c r="X14" s="72">
        <v>0</v>
      </c>
      <c r="Y14" s="72">
        <v>0</v>
      </c>
      <c r="Z14" s="35"/>
      <c r="AA14" s="94">
        <f t="shared" si="0"/>
        <v>528</v>
      </c>
      <c r="AB14" s="72">
        <f t="shared" si="0"/>
        <v>11360.862388882284</v>
      </c>
      <c r="AC14" s="72">
        <f t="shared" si="1"/>
        <v>0</v>
      </c>
      <c r="AD14"/>
    </row>
    <row r="15" spans="2:30" s="57" customFormat="1" x14ac:dyDescent="0.2">
      <c r="B15" s="76" t="s">
        <v>95</v>
      </c>
      <c r="C15" s="61"/>
      <c r="D15" s="74" t="s">
        <v>30</v>
      </c>
      <c r="E15" s="74" t="s">
        <v>30</v>
      </c>
      <c r="F15" s="130">
        <f>12*22*1</f>
        <v>264</v>
      </c>
      <c r="G15" s="73" t="s">
        <v>30</v>
      </c>
      <c r="H15" s="73" t="s">
        <v>30</v>
      </c>
      <c r="I15" s="73">
        <v>2</v>
      </c>
      <c r="J15" s="72" t="s">
        <v>30</v>
      </c>
      <c r="K15" s="37" t="s">
        <v>30</v>
      </c>
      <c r="L15" s="72">
        <f>F15*I15*VLOOKUP($I$7,'[1]Conveni colectiu'!B6:G18,6,0)</f>
        <v>11360.862388882284</v>
      </c>
      <c r="M15"/>
      <c r="N15" s="88"/>
      <c r="O15" s="35"/>
      <c r="P15" s="94">
        <v>0</v>
      </c>
      <c r="Q15" s="72">
        <v>0</v>
      </c>
      <c r="R15" s="94">
        <v>0</v>
      </c>
      <c r="S15" s="72">
        <v>0</v>
      </c>
      <c r="T15" s="94">
        <v>0</v>
      </c>
      <c r="U15" s="72">
        <v>0</v>
      </c>
      <c r="V15" s="94">
        <f>F15*I15</f>
        <v>528</v>
      </c>
      <c r="W15" s="72">
        <f>V15*VLOOKUP($I$7,'[1]Conveni colectiu'!B7:G19,6,0)</f>
        <v>11360.862388882284</v>
      </c>
      <c r="X15" s="72">
        <v>0</v>
      </c>
      <c r="Y15" s="72">
        <v>0</v>
      </c>
      <c r="Z15" s="35"/>
      <c r="AA15" s="94">
        <f t="shared" si="0"/>
        <v>528</v>
      </c>
      <c r="AB15" s="72">
        <f t="shared" si="0"/>
        <v>11360.862388882284</v>
      </c>
      <c r="AC15" s="72">
        <f t="shared" si="1"/>
        <v>0</v>
      </c>
      <c r="AD15"/>
    </row>
    <row r="16" spans="2:30" s="57" customFormat="1" x14ac:dyDescent="0.2">
      <c r="B16" s="76" t="s">
        <v>94</v>
      </c>
      <c r="C16" s="61"/>
      <c r="D16" s="123">
        <v>10</v>
      </c>
      <c r="E16" s="72">
        <f>D16*50</f>
        <v>500</v>
      </c>
      <c r="F16" s="130">
        <v>4</v>
      </c>
      <c r="G16" s="73">
        <v>2</v>
      </c>
      <c r="H16" s="73" t="s">
        <v>30</v>
      </c>
      <c r="I16" s="73" t="s">
        <v>30</v>
      </c>
      <c r="J16" s="72">
        <f>28/1.19</f>
        <v>23.529411764705884</v>
      </c>
      <c r="K16" s="37">
        <f>L16/D16</f>
        <v>220.53465843899161</v>
      </c>
      <c r="L16" s="72">
        <f>(F16*G16*VLOOKUP($G$7,'[1]Conveni colectiu'!$B$6:$G$18,6,0)+J16)*D16+E16</f>
        <v>2205.3465843899162</v>
      </c>
      <c r="M16"/>
      <c r="N16" s="88"/>
      <c r="O16" s="129"/>
      <c r="P16" s="94">
        <v>0</v>
      </c>
      <c r="Q16" s="72">
        <v>0</v>
      </c>
      <c r="R16" s="94">
        <f>F16*G16*D16</f>
        <v>80</v>
      </c>
      <c r="S16" s="72">
        <f>(F16*G16*VLOOKUP($G$7,'[1]Conveni colectiu'!$B$6:$G$18,6,0))*D16</f>
        <v>1470.0524667428572</v>
      </c>
      <c r="T16" s="94">
        <v>0</v>
      </c>
      <c r="U16" s="72">
        <v>0</v>
      </c>
      <c r="V16" s="94">
        <v>0</v>
      </c>
      <c r="W16" s="72">
        <v>0</v>
      </c>
      <c r="X16" s="72">
        <f>E16</f>
        <v>500</v>
      </c>
      <c r="Y16" s="72">
        <f>J16*D16</f>
        <v>235.29411764705884</v>
      </c>
      <c r="Z16" s="129"/>
      <c r="AA16" s="94">
        <f t="shared" si="0"/>
        <v>80</v>
      </c>
      <c r="AB16" s="72">
        <f t="shared" si="0"/>
        <v>1470.0524667428572</v>
      </c>
      <c r="AC16" s="72">
        <f t="shared" si="1"/>
        <v>735.29411764705878</v>
      </c>
      <c r="AD16"/>
    </row>
    <row r="17" spans="2:30" s="57" customFormat="1" x14ac:dyDescent="0.2">
      <c r="C17" s="61"/>
      <c r="G17" s="59"/>
      <c r="H17" s="59"/>
      <c r="I17" s="59"/>
      <c r="K17" s="128"/>
      <c r="L17" s="72"/>
      <c r="M17"/>
      <c r="N17" s="88"/>
      <c r="AD17"/>
    </row>
    <row r="18" spans="2:30" s="57" customFormat="1" x14ac:dyDescent="0.2">
      <c r="B18" s="32" t="s">
        <v>93</v>
      </c>
      <c r="C18" s="69"/>
      <c r="D18" s="115"/>
      <c r="E18" s="115"/>
      <c r="F18" s="114"/>
      <c r="G18" s="113"/>
      <c r="H18" s="113"/>
      <c r="I18" s="113"/>
      <c r="J18" s="112"/>
      <c r="K18" s="112"/>
      <c r="L18" s="31">
        <f>SUM(L8:L16)</f>
        <v>224329.03763063625</v>
      </c>
      <c r="M18"/>
      <c r="N18" s="141" t="s">
        <v>28</v>
      </c>
      <c r="O18" s="46"/>
      <c r="P18" s="55" t="s">
        <v>27</v>
      </c>
      <c r="Q18" s="54"/>
      <c r="R18" s="54"/>
      <c r="S18" s="54"/>
      <c r="T18" s="54"/>
      <c r="U18" s="54"/>
      <c r="V18" s="54"/>
      <c r="W18" s="54"/>
      <c r="X18" s="54"/>
      <c r="Y18" s="53"/>
      <c r="Z18" s="56"/>
      <c r="AA18" s="55"/>
      <c r="AB18" s="54"/>
      <c r="AC18" s="53"/>
      <c r="AD18"/>
    </row>
    <row r="19" spans="2:30" s="61" customFormat="1" ht="38.25" x14ac:dyDescent="0.2">
      <c r="G19" s="127"/>
      <c r="H19" s="127"/>
      <c r="I19" s="127"/>
      <c r="L19" s="72"/>
      <c r="M19"/>
      <c r="N19" s="142"/>
      <c r="O19" s="46"/>
      <c r="P19" s="52" t="s">
        <v>25</v>
      </c>
      <c r="Q19" s="52" t="s">
        <v>24</v>
      </c>
      <c r="R19" s="52" t="s">
        <v>23</v>
      </c>
      <c r="S19" s="52" t="s">
        <v>22</v>
      </c>
      <c r="T19" s="52" t="s">
        <v>21</v>
      </c>
      <c r="U19" s="52" t="s">
        <v>20</v>
      </c>
      <c r="V19" s="52" t="s">
        <v>19</v>
      </c>
      <c r="W19" s="52" t="s">
        <v>18</v>
      </c>
      <c r="X19" s="52" t="s">
        <v>17</v>
      </c>
      <c r="Y19" s="52" t="s">
        <v>16</v>
      </c>
      <c r="Z19" s="46"/>
      <c r="AA19" s="52" t="s">
        <v>15</v>
      </c>
      <c r="AB19" s="52" t="s">
        <v>14</v>
      </c>
      <c r="AC19" s="52" t="s">
        <v>13</v>
      </c>
      <c r="AD19" s="2"/>
    </row>
    <row r="20" spans="2:30" s="57" customFormat="1" x14ac:dyDescent="0.2">
      <c r="B20" s="70" t="s">
        <v>92</v>
      </c>
      <c r="C20" s="69"/>
      <c r="D20" s="68"/>
      <c r="E20" s="68"/>
      <c r="F20" s="67"/>
      <c r="G20" s="66"/>
      <c r="H20" s="66"/>
      <c r="I20" s="66"/>
      <c r="J20" s="65"/>
      <c r="K20" s="64"/>
      <c r="L20" s="63">
        <f>L18/16500/365</f>
        <v>3.7248491096826278E-2</v>
      </c>
      <c r="M20"/>
      <c r="N20" s="144"/>
      <c r="O20" s="46"/>
      <c r="P20" s="143"/>
      <c r="Q20" s="144"/>
      <c r="R20" s="143"/>
      <c r="S20" s="144"/>
      <c r="T20" s="143"/>
      <c r="U20" s="144"/>
      <c r="V20" s="143"/>
      <c r="W20" s="144"/>
      <c r="X20" s="144"/>
      <c r="Y20" s="144"/>
      <c r="Z20" s="46"/>
      <c r="AA20" s="45">
        <f>SUM(P20,R20,T20,V20)</f>
        <v>0</v>
      </c>
      <c r="AB20" s="45">
        <f>SUM(Q20,S20,U20,W20)</f>
        <v>0</v>
      </c>
      <c r="AC20" s="45">
        <f>SUM(X20,Y20)</f>
        <v>0</v>
      </c>
      <c r="AD20"/>
    </row>
    <row r="21" spans="2:30" s="57" customFormat="1" x14ac:dyDescent="0.2">
      <c r="B21" s="62"/>
      <c r="C21" s="61"/>
      <c r="D21" s="126"/>
      <c r="G21" s="59"/>
      <c r="H21" s="59"/>
      <c r="I21" s="59"/>
      <c r="L21" s="58"/>
      <c r="M21"/>
      <c r="N21" s="58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6"/>
      <c r="AB21" s="46"/>
      <c r="AC21" s="46"/>
      <c r="AD21"/>
    </row>
    <row r="22" spans="2:30" x14ac:dyDescent="0.2">
      <c r="B22" s="51" t="s">
        <v>91</v>
      </c>
      <c r="C22" s="85"/>
      <c r="D22" s="81"/>
      <c r="E22" s="81"/>
      <c r="F22" s="84"/>
      <c r="G22" s="83"/>
      <c r="H22" s="82"/>
      <c r="I22" s="82"/>
      <c r="J22" s="81"/>
      <c r="K22" s="81"/>
      <c r="L22" s="80"/>
    </row>
    <row r="23" spans="2:30" x14ac:dyDescent="0.2">
      <c r="B23" s="69"/>
    </row>
    <row r="24" spans="2:30" x14ac:dyDescent="0.2">
      <c r="B24" s="125" t="s">
        <v>90</v>
      </c>
      <c r="H24" s="124"/>
    </row>
    <row r="25" spans="2:30" s="57" customFormat="1" ht="38.1" customHeight="1" x14ac:dyDescent="0.2">
      <c r="C25" s="61"/>
      <c r="D25" s="79" t="s">
        <v>89</v>
      </c>
      <c r="E25" s="79" t="s">
        <v>88</v>
      </c>
      <c r="F25" s="79" t="s">
        <v>87</v>
      </c>
      <c r="G25" s="79" t="s">
        <v>86</v>
      </c>
      <c r="H25" s="79" t="s">
        <v>43</v>
      </c>
      <c r="I25" s="79" t="s">
        <v>17</v>
      </c>
      <c r="J25" s="79" t="s">
        <v>35</v>
      </c>
      <c r="K25" s="79" t="s">
        <v>34</v>
      </c>
      <c r="L25" s="77" t="s">
        <v>33</v>
      </c>
      <c r="M25"/>
      <c r="N25" s="36" t="s">
        <v>28</v>
      </c>
      <c r="O25" s="38"/>
      <c r="P25" s="36" t="s">
        <v>25</v>
      </c>
      <c r="Q25" s="36" t="s">
        <v>24</v>
      </c>
      <c r="R25" s="36" t="s">
        <v>23</v>
      </c>
      <c r="S25" s="36" t="s">
        <v>22</v>
      </c>
      <c r="T25" s="36" t="s">
        <v>21</v>
      </c>
      <c r="U25" s="36" t="s">
        <v>20</v>
      </c>
      <c r="V25" s="36" t="s">
        <v>19</v>
      </c>
      <c r="W25" s="36" t="s">
        <v>18</v>
      </c>
      <c r="X25" s="36" t="s">
        <v>17</v>
      </c>
      <c r="Y25" s="36" t="s">
        <v>16</v>
      </c>
      <c r="Z25" s="38"/>
      <c r="AA25" s="36" t="s">
        <v>15</v>
      </c>
      <c r="AB25" s="36" t="s">
        <v>14</v>
      </c>
      <c r="AC25" s="36" t="s">
        <v>13</v>
      </c>
      <c r="AD25"/>
    </row>
    <row r="26" spans="2:30" s="57" customFormat="1" x14ac:dyDescent="0.2">
      <c r="C26" s="61"/>
      <c r="D26" s="79"/>
      <c r="E26" s="79"/>
      <c r="F26" s="79"/>
      <c r="G26" s="79"/>
      <c r="H26" s="79">
        <v>7</v>
      </c>
      <c r="I26" s="79"/>
      <c r="J26" s="79"/>
      <c r="K26" s="78"/>
      <c r="L26" s="77"/>
      <c r="M26"/>
      <c r="N26" s="38"/>
      <c r="O26" s="38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38"/>
      <c r="AA26" s="77"/>
      <c r="AB26" s="77"/>
      <c r="AC26" s="77"/>
      <c r="AD26"/>
    </row>
    <row r="27" spans="2:30" s="57" customFormat="1" x14ac:dyDescent="0.2">
      <c r="B27" s="76" t="s">
        <v>85</v>
      </c>
      <c r="C27" s="91"/>
      <c r="D27" s="74">
        <v>10494</v>
      </c>
      <c r="E27" s="74" t="s">
        <v>84</v>
      </c>
      <c r="F27" s="37">
        <f>D27*0.08*4/22</f>
        <v>152.63999999999999</v>
      </c>
      <c r="G27" s="103">
        <f>D27*8%</f>
        <v>839.52</v>
      </c>
      <c r="H27" s="73">
        <v>2</v>
      </c>
      <c r="I27" s="73" t="s">
        <v>30</v>
      </c>
      <c r="J27" s="72">
        <f>28/1.19</f>
        <v>23.529411764705884</v>
      </c>
      <c r="K27" s="72">
        <f>L27/G27</f>
        <v>7.480752793876241</v>
      </c>
      <c r="L27" s="72">
        <f>(SUM(H27*VLOOKUP($H$26,'[1]Conveni colectiu'!$B$6:$G$18,6,0)*4,J27)/22)*G27</f>
        <v>6280.241585514982</v>
      </c>
      <c r="M27"/>
      <c r="N27" s="144"/>
      <c r="O27" s="35"/>
      <c r="P27" s="94">
        <v>0</v>
      </c>
      <c r="Q27" s="72">
        <v>0</v>
      </c>
      <c r="R27" s="94">
        <v>0</v>
      </c>
      <c r="S27" s="72">
        <v>0</v>
      </c>
      <c r="T27" s="94">
        <f>F27*H27</f>
        <v>305.27999999999997</v>
      </c>
      <c r="U27" s="72">
        <f>T27*VLOOKUP($H$26,'[1]Conveni colectiu'!$B$6:$G$18,6,0)</f>
        <v>5382.3592325738055</v>
      </c>
      <c r="V27" s="94">
        <v>0</v>
      </c>
      <c r="W27" s="72">
        <v>0</v>
      </c>
      <c r="X27" s="72">
        <v>0</v>
      </c>
      <c r="Y27" s="72">
        <f>J27*F27/4</f>
        <v>897.88235294117646</v>
      </c>
      <c r="Z27" s="35"/>
      <c r="AA27" s="94">
        <f t="shared" ref="AA27:AB30" si="2">SUM(R27,T27,V27,P27)</f>
        <v>305.27999999999997</v>
      </c>
      <c r="AB27" s="72">
        <f t="shared" si="2"/>
        <v>5382.3592325738055</v>
      </c>
      <c r="AC27" s="72">
        <f>SUM(X27:Y27)</f>
        <v>897.88235294117646</v>
      </c>
      <c r="AD27"/>
    </row>
    <row r="28" spans="2:30" s="57" customFormat="1" x14ac:dyDescent="0.2">
      <c r="B28" s="76" t="s">
        <v>83</v>
      </c>
      <c r="C28" s="91"/>
      <c r="D28" s="74">
        <v>5928</v>
      </c>
      <c r="E28" s="74" t="s">
        <v>82</v>
      </c>
      <c r="F28" s="37">
        <f>D28*0.08*4/22</f>
        <v>86.225454545454554</v>
      </c>
      <c r="G28" s="103">
        <f>D28*8%</f>
        <v>474.24</v>
      </c>
      <c r="H28" s="73">
        <v>2</v>
      </c>
      <c r="I28" s="73" t="s">
        <v>30</v>
      </c>
      <c r="J28" s="72">
        <f>28/1.19</f>
        <v>23.529411764705884</v>
      </c>
      <c r="K28" s="72">
        <f>L28/G28</f>
        <v>7.480752793876241</v>
      </c>
      <c r="L28" s="72">
        <f>(SUM(H28*VLOOKUP($H$26,'[1]Conveni colectiu'!$B$6:$G$18,6,0)*4,J28)/22)*G28</f>
        <v>3547.6722049678688</v>
      </c>
      <c r="M28"/>
      <c r="N28" s="144"/>
      <c r="O28" s="35"/>
      <c r="P28" s="94">
        <v>0</v>
      </c>
      <c r="Q28" s="72">
        <v>0</v>
      </c>
      <c r="R28" s="94">
        <v>0</v>
      </c>
      <c r="S28" s="72">
        <v>0</v>
      </c>
      <c r="T28" s="94">
        <f>F28*H28</f>
        <v>172.45090909090911</v>
      </c>
      <c r="U28" s="72">
        <f>T28*VLOOKUP($H$26,'[1]Conveni colectiu'!$B$6:$G$18,6,0)</f>
        <v>3040.4636488181363</v>
      </c>
      <c r="V28" s="94">
        <v>0</v>
      </c>
      <c r="W28" s="72">
        <v>0</v>
      </c>
      <c r="X28" s="72">
        <v>0</v>
      </c>
      <c r="Y28" s="72">
        <f>J28*F28/4</f>
        <v>507.20855614973271</v>
      </c>
      <c r="Z28" s="35"/>
      <c r="AA28" s="94">
        <f t="shared" si="2"/>
        <v>172.45090909090911</v>
      </c>
      <c r="AB28" s="72">
        <f t="shared" si="2"/>
        <v>3040.4636488181363</v>
      </c>
      <c r="AC28" s="72">
        <f>SUM(X28:Y28)</f>
        <v>507.20855614973271</v>
      </c>
      <c r="AD28"/>
    </row>
    <row r="29" spans="2:30" s="57" customFormat="1" x14ac:dyDescent="0.2">
      <c r="B29" s="76" t="s">
        <v>81</v>
      </c>
      <c r="C29" s="91"/>
      <c r="D29" s="123">
        <v>11991</v>
      </c>
      <c r="E29" s="74" t="s">
        <v>80</v>
      </c>
      <c r="F29" s="37">
        <f>D29*(1/20)*4/16</f>
        <v>149.88750000000002</v>
      </c>
      <c r="G29" s="103">
        <f>D29/20</f>
        <v>599.54999999999995</v>
      </c>
      <c r="H29" s="73">
        <v>2</v>
      </c>
      <c r="I29" s="73">
        <v>3</v>
      </c>
      <c r="J29" s="72">
        <f>28/1.19</f>
        <v>23.529411764705884</v>
      </c>
      <c r="K29" s="72">
        <f>L29/G29</f>
        <v>13.286035091579832</v>
      </c>
      <c r="L29" s="72">
        <f>(SUM(H29*VLOOKUP($H$26,'[1]Conveni colectiu'!$B$6:$G$18,6,0)*4,J29)/16+I29)*G29</f>
        <v>7965.6423391566877</v>
      </c>
      <c r="M29"/>
      <c r="N29" s="144"/>
      <c r="O29" s="35"/>
      <c r="P29" s="94">
        <v>0</v>
      </c>
      <c r="Q29" s="72">
        <v>0</v>
      </c>
      <c r="R29" s="94">
        <v>0</v>
      </c>
      <c r="S29" s="72">
        <v>0</v>
      </c>
      <c r="T29" s="94">
        <f>F29*H29</f>
        <v>299.77500000000003</v>
      </c>
      <c r="U29" s="72">
        <f>T29*VLOOKUP($H$26,'[1]Conveni colectiu'!$B$6:$G$18,6,0)</f>
        <v>5285.3011626861007</v>
      </c>
      <c r="V29" s="94">
        <v>0</v>
      </c>
      <c r="W29" s="72">
        <v>0</v>
      </c>
      <c r="X29" s="72">
        <f>I29*G29</f>
        <v>1798.6499999999999</v>
      </c>
      <c r="Y29" s="72">
        <f>J29*F29/4</f>
        <v>881.6911764705884</v>
      </c>
      <c r="Z29" s="35"/>
      <c r="AA29" s="94">
        <f t="shared" si="2"/>
        <v>299.77500000000003</v>
      </c>
      <c r="AB29" s="72">
        <f t="shared" si="2"/>
        <v>5285.3011626861007</v>
      </c>
      <c r="AC29" s="72">
        <f>SUM(X29:Y29)</f>
        <v>2680.3411764705884</v>
      </c>
      <c r="AD29"/>
    </row>
    <row r="30" spans="2:30" s="57" customFormat="1" x14ac:dyDescent="0.2">
      <c r="B30" s="76" t="s">
        <v>79</v>
      </c>
      <c r="C30" s="91"/>
      <c r="D30" s="74">
        <v>200</v>
      </c>
      <c r="E30" s="74" t="s">
        <v>78</v>
      </c>
      <c r="F30" s="37">
        <f>D30*(0.2)/0.5</f>
        <v>80</v>
      </c>
      <c r="G30" s="73">
        <f>D30*0.2</f>
        <v>40</v>
      </c>
      <c r="H30" s="73">
        <v>2</v>
      </c>
      <c r="I30" s="117">
        <v>70</v>
      </c>
      <c r="J30" s="72">
        <f>28/1.19</f>
        <v>23.529411764705884</v>
      </c>
      <c r="K30" s="72">
        <f>L30/G30</f>
        <v>152.28828073263867</v>
      </c>
      <c r="L30" s="72">
        <f>(SUM(H30*VLOOKUP($H$26,'[1]Conveni colectiu'!$B$6:$G$18,6,0)*2,J30/2)+I30)*G30</f>
        <v>6091.5312293055467</v>
      </c>
      <c r="M30"/>
      <c r="N30" s="144"/>
      <c r="O30" s="35"/>
      <c r="P30" s="94">
        <v>0</v>
      </c>
      <c r="Q30" s="72">
        <v>0</v>
      </c>
      <c r="R30" s="94">
        <v>0</v>
      </c>
      <c r="S30" s="72">
        <v>0</v>
      </c>
      <c r="T30" s="94">
        <f>F30*H30</f>
        <v>160</v>
      </c>
      <c r="U30" s="72">
        <f>T30*VLOOKUP($H$26,'[1]Conveni colectiu'!$B$6:$G$18,6,0)</f>
        <v>2820.9429940114287</v>
      </c>
      <c r="V30" s="94">
        <v>0</v>
      </c>
      <c r="W30" s="72">
        <v>0</v>
      </c>
      <c r="X30" s="72">
        <f>I30*G30</f>
        <v>2800</v>
      </c>
      <c r="Y30" s="72">
        <f>J30*F30/4</f>
        <v>470.58823529411768</v>
      </c>
      <c r="Z30" s="35"/>
      <c r="AA30" s="94">
        <f t="shared" si="2"/>
        <v>160</v>
      </c>
      <c r="AB30" s="72">
        <f t="shared" si="2"/>
        <v>2820.9429940114287</v>
      </c>
      <c r="AC30" s="72">
        <f>SUM(X30:Y30)</f>
        <v>3270.5882352941176</v>
      </c>
      <c r="AD30"/>
    </row>
    <row r="31" spans="2:30" s="57" customFormat="1" x14ac:dyDescent="0.2">
      <c r="C31" s="61"/>
      <c r="G31" s="59"/>
      <c r="H31" s="59"/>
      <c r="I31" s="59"/>
      <c r="M31"/>
      <c r="AD31"/>
    </row>
    <row r="32" spans="2:30" s="57" customFormat="1" x14ac:dyDescent="0.2">
      <c r="B32" s="32" t="s">
        <v>77</v>
      </c>
      <c r="C32" s="61"/>
      <c r="D32" s="115"/>
      <c r="E32" s="115"/>
      <c r="F32" s="114"/>
      <c r="G32" s="113"/>
      <c r="H32" s="113"/>
      <c r="I32" s="113"/>
      <c r="J32" s="112"/>
      <c r="K32" s="112"/>
      <c r="L32" s="31">
        <f>SUM(L27:L30)</f>
        <v>23885.087358945086</v>
      </c>
      <c r="M32"/>
      <c r="N32" s="39"/>
      <c r="P32" s="55" t="s">
        <v>27</v>
      </c>
      <c r="Q32" s="54"/>
      <c r="R32" s="54"/>
      <c r="S32" s="54"/>
      <c r="T32" s="54"/>
      <c r="U32" s="54"/>
      <c r="V32" s="54"/>
      <c r="W32" s="54"/>
      <c r="X32" s="54"/>
      <c r="Y32" s="53"/>
      <c r="Z32" s="56"/>
      <c r="AA32" s="55"/>
      <c r="AB32" s="54"/>
      <c r="AC32" s="53"/>
      <c r="AD32"/>
    </row>
    <row r="33" spans="2:30" s="57" customFormat="1" ht="38.25" x14ac:dyDescent="0.2">
      <c r="C33" s="61"/>
      <c r="G33" s="59"/>
      <c r="H33" s="59"/>
      <c r="I33" s="59"/>
      <c r="L33" s="39"/>
      <c r="M33"/>
      <c r="N33" s="39"/>
      <c r="P33" s="52" t="s">
        <v>25</v>
      </c>
      <c r="Q33" s="52" t="s">
        <v>24</v>
      </c>
      <c r="R33" s="52" t="s">
        <v>23</v>
      </c>
      <c r="S33" s="52" t="s">
        <v>22</v>
      </c>
      <c r="T33" s="52" t="s">
        <v>21</v>
      </c>
      <c r="U33" s="52" t="s">
        <v>20</v>
      </c>
      <c r="V33" s="52" t="s">
        <v>19</v>
      </c>
      <c r="W33" s="52" t="s">
        <v>18</v>
      </c>
      <c r="X33" s="52" t="s">
        <v>17</v>
      </c>
      <c r="Y33" s="52" t="s">
        <v>16</v>
      </c>
      <c r="Z33" s="46"/>
      <c r="AA33" s="52" t="s">
        <v>15</v>
      </c>
      <c r="AB33" s="52" t="s">
        <v>14</v>
      </c>
      <c r="AC33" s="52" t="s">
        <v>13</v>
      </c>
      <c r="AD33"/>
    </row>
    <row r="34" spans="2:30" s="57" customFormat="1" x14ac:dyDescent="0.2">
      <c r="C34" s="61"/>
      <c r="G34" s="59"/>
      <c r="H34" s="59"/>
      <c r="I34" s="59"/>
      <c r="L34" s="39"/>
      <c r="M34"/>
      <c r="N34" s="39"/>
      <c r="P34" s="143"/>
      <c r="Q34" s="144"/>
      <c r="R34" s="143"/>
      <c r="S34" s="144"/>
      <c r="T34" s="143"/>
      <c r="U34" s="144"/>
      <c r="V34" s="143"/>
      <c r="W34" s="144"/>
      <c r="X34" s="144"/>
      <c r="Y34" s="144"/>
      <c r="Z34" s="46"/>
      <c r="AA34" s="45">
        <f>SUM(P34,R34,T34,V34)</f>
        <v>0</v>
      </c>
      <c r="AB34" s="45">
        <f>SUM(Q34,S34,U34,W34)</f>
        <v>0</v>
      </c>
      <c r="AC34" s="45">
        <f>SUM(X34,Y34)</f>
        <v>0</v>
      </c>
      <c r="AD34"/>
    </row>
    <row r="35" spans="2:30" x14ac:dyDescent="0.2">
      <c r="O35" s="39"/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</row>
    <row r="36" spans="2:30" x14ac:dyDescent="0.2">
      <c r="B36" s="107" t="s">
        <v>76</v>
      </c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</row>
    <row r="37" spans="2:30" s="119" customFormat="1" ht="38.1" customHeight="1" x14ac:dyDescent="0.2">
      <c r="C37" s="122"/>
      <c r="I37" s="121" t="s">
        <v>52</v>
      </c>
      <c r="J37" s="106" t="s">
        <v>75</v>
      </c>
      <c r="K37" s="106" t="s">
        <v>74</v>
      </c>
      <c r="L37" s="77" t="s">
        <v>33</v>
      </c>
      <c r="M37"/>
      <c r="N37" s="36" t="s">
        <v>28</v>
      </c>
      <c r="O37" s="120"/>
      <c r="P37" s="36" t="s">
        <v>25</v>
      </c>
      <c r="Q37" s="36" t="s">
        <v>24</v>
      </c>
      <c r="R37" s="36" t="s">
        <v>23</v>
      </c>
      <c r="S37" s="36" t="s">
        <v>22</v>
      </c>
      <c r="T37" s="36" t="s">
        <v>21</v>
      </c>
      <c r="U37" s="36" t="s">
        <v>20</v>
      </c>
      <c r="V37" s="36" t="s">
        <v>19</v>
      </c>
      <c r="W37" s="36" t="s">
        <v>18</v>
      </c>
      <c r="X37" s="36" t="s">
        <v>17</v>
      </c>
      <c r="Y37" s="36" t="s">
        <v>16</v>
      </c>
      <c r="Z37" s="120"/>
      <c r="AA37" s="36" t="s">
        <v>15</v>
      </c>
      <c r="AB37" s="36" t="s">
        <v>14</v>
      </c>
      <c r="AC37" s="36" t="s">
        <v>13</v>
      </c>
      <c r="AD37"/>
    </row>
    <row r="38" spans="2:30" x14ac:dyDescent="0.2">
      <c r="C38"/>
      <c r="G38"/>
      <c r="H38"/>
      <c r="I38"/>
    </row>
    <row r="39" spans="2:30" s="57" customFormat="1" x14ac:dyDescent="0.2">
      <c r="B39" s="76" t="s">
        <v>73</v>
      </c>
      <c r="C39" s="61"/>
      <c r="D39" s="105"/>
      <c r="E39" s="105"/>
      <c r="F39" s="105"/>
      <c r="G39" s="117"/>
      <c r="H39" s="73"/>
      <c r="I39" s="73">
        <v>141</v>
      </c>
      <c r="J39" s="118">
        <v>0.05</v>
      </c>
      <c r="K39" s="72">
        <f>15.63/1.19</f>
        <v>13.134453781512606</v>
      </c>
      <c r="L39" s="72">
        <f t="shared" ref="L39:L55" si="3">K39*J39*I39</f>
        <v>92.597899159663882</v>
      </c>
      <c r="M39"/>
      <c r="N39" s="144"/>
      <c r="O39" s="35"/>
      <c r="P39" s="94">
        <v>0</v>
      </c>
      <c r="Q39" s="72">
        <v>0</v>
      </c>
      <c r="R39" s="94">
        <v>0</v>
      </c>
      <c r="S39" s="72">
        <v>0</v>
      </c>
      <c r="T39" s="94">
        <v>0</v>
      </c>
      <c r="U39" s="72">
        <v>0</v>
      </c>
      <c r="V39" s="94">
        <v>0</v>
      </c>
      <c r="W39" s="72">
        <v>0</v>
      </c>
      <c r="X39" s="72">
        <f t="shared" ref="X39:X54" si="4">L39</f>
        <v>92.597899159663882</v>
      </c>
      <c r="Y39" s="72">
        <v>0</v>
      </c>
      <c r="Z39" s="35"/>
      <c r="AA39" s="94">
        <f t="shared" ref="AA39:AA56" si="5">SUM(R39,T39,V39,P39)</f>
        <v>0</v>
      </c>
      <c r="AB39" s="93">
        <f t="shared" ref="AB39:AB56" si="6">SUM(S39,U39,W39,Q39)</f>
        <v>0</v>
      </c>
      <c r="AC39" s="93">
        <f t="shared" ref="AC39:AC56" si="7">SUM(X39:Y39)</f>
        <v>92.597899159663882</v>
      </c>
      <c r="AD39"/>
    </row>
    <row r="40" spans="2:30" s="57" customFormat="1" x14ac:dyDescent="0.2">
      <c r="B40" s="76" t="s">
        <v>72</v>
      </c>
      <c r="C40" s="61"/>
      <c r="D40" s="105"/>
      <c r="E40" s="105"/>
      <c r="F40" s="105"/>
      <c r="G40" s="117"/>
      <c r="H40" s="73"/>
      <c r="I40" s="73">
        <v>282</v>
      </c>
      <c r="J40" s="118">
        <v>0</v>
      </c>
      <c r="K40" s="72">
        <f>30.16/1.19</f>
        <v>25.344537815126053</v>
      </c>
      <c r="L40" s="72">
        <f t="shared" si="3"/>
        <v>0</v>
      </c>
      <c r="M40"/>
      <c r="N40" s="144"/>
      <c r="O40" s="35"/>
      <c r="P40" s="94">
        <v>0</v>
      </c>
      <c r="Q40" s="72">
        <v>0</v>
      </c>
      <c r="R40" s="94">
        <v>0</v>
      </c>
      <c r="S40" s="72">
        <v>0</v>
      </c>
      <c r="T40" s="94">
        <v>0</v>
      </c>
      <c r="U40" s="72">
        <v>0</v>
      </c>
      <c r="V40" s="94">
        <v>0</v>
      </c>
      <c r="W40" s="72">
        <v>0</v>
      </c>
      <c r="X40" s="72">
        <f t="shared" si="4"/>
        <v>0</v>
      </c>
      <c r="Y40" s="72">
        <v>0</v>
      </c>
      <c r="Z40" s="35"/>
      <c r="AA40" s="94">
        <f t="shared" si="5"/>
        <v>0</v>
      </c>
      <c r="AB40" s="93">
        <f t="shared" si="6"/>
        <v>0</v>
      </c>
      <c r="AC40" s="93">
        <f t="shared" si="7"/>
        <v>0</v>
      </c>
      <c r="AD40"/>
    </row>
    <row r="41" spans="2:30" s="57" customFormat="1" x14ac:dyDescent="0.2">
      <c r="B41" s="76" t="s">
        <v>71</v>
      </c>
      <c r="C41" s="61"/>
      <c r="D41" s="105"/>
      <c r="E41" s="105"/>
      <c r="F41" s="105"/>
      <c r="G41" s="117"/>
      <c r="H41" s="73"/>
      <c r="I41" s="73">
        <v>300</v>
      </c>
      <c r="J41" s="118">
        <v>0</v>
      </c>
      <c r="K41" s="72">
        <f>44.15/1.19</f>
        <v>37.100840336134453</v>
      </c>
      <c r="L41" s="72">
        <f t="shared" si="3"/>
        <v>0</v>
      </c>
      <c r="M41"/>
      <c r="N41" s="144"/>
      <c r="O41" s="35"/>
      <c r="P41" s="94">
        <v>0</v>
      </c>
      <c r="Q41" s="72">
        <v>0</v>
      </c>
      <c r="R41" s="94">
        <v>0</v>
      </c>
      <c r="S41" s="72">
        <v>0</v>
      </c>
      <c r="T41" s="94">
        <v>0</v>
      </c>
      <c r="U41" s="72">
        <v>0</v>
      </c>
      <c r="V41" s="94">
        <v>0</v>
      </c>
      <c r="W41" s="72">
        <v>0</v>
      </c>
      <c r="X41" s="72">
        <f t="shared" si="4"/>
        <v>0</v>
      </c>
      <c r="Y41" s="72">
        <v>0</v>
      </c>
      <c r="Z41" s="35"/>
      <c r="AA41" s="94">
        <f t="shared" si="5"/>
        <v>0</v>
      </c>
      <c r="AB41" s="93">
        <f t="shared" si="6"/>
        <v>0</v>
      </c>
      <c r="AC41" s="93">
        <f t="shared" si="7"/>
        <v>0</v>
      </c>
      <c r="AD41"/>
    </row>
    <row r="42" spans="2:30" s="57" customFormat="1" x14ac:dyDescent="0.2">
      <c r="B42" s="76" t="s">
        <v>70</v>
      </c>
      <c r="C42" s="61"/>
      <c r="D42" s="105"/>
      <c r="E42" s="105"/>
      <c r="F42" s="105"/>
      <c r="G42" s="117"/>
      <c r="H42" s="73"/>
      <c r="I42" s="73">
        <v>300</v>
      </c>
      <c r="J42" s="118">
        <v>0</v>
      </c>
      <c r="K42" s="72">
        <f>51.64/1.19</f>
        <v>43.394957983193279</v>
      </c>
      <c r="L42" s="72">
        <f t="shared" si="3"/>
        <v>0</v>
      </c>
      <c r="M42"/>
      <c r="N42" s="144"/>
      <c r="O42" s="35"/>
      <c r="P42" s="94">
        <v>0</v>
      </c>
      <c r="Q42" s="72">
        <v>0</v>
      </c>
      <c r="R42" s="94">
        <v>0</v>
      </c>
      <c r="S42" s="72">
        <v>0</v>
      </c>
      <c r="T42" s="94">
        <v>0</v>
      </c>
      <c r="U42" s="72">
        <v>0</v>
      </c>
      <c r="V42" s="94">
        <v>0</v>
      </c>
      <c r="W42" s="72">
        <v>0</v>
      </c>
      <c r="X42" s="72">
        <f t="shared" si="4"/>
        <v>0</v>
      </c>
      <c r="Y42" s="72">
        <v>0</v>
      </c>
      <c r="Z42" s="35"/>
      <c r="AA42" s="94">
        <f t="shared" si="5"/>
        <v>0</v>
      </c>
      <c r="AB42" s="93">
        <f t="shared" si="6"/>
        <v>0</v>
      </c>
      <c r="AC42" s="93">
        <f t="shared" si="7"/>
        <v>0</v>
      </c>
      <c r="AD42"/>
    </row>
    <row r="43" spans="2:30" s="57" customFormat="1" x14ac:dyDescent="0.2">
      <c r="B43" s="76" t="s">
        <v>69</v>
      </c>
      <c r="C43" s="61"/>
      <c r="D43" s="105"/>
      <c r="E43" s="105"/>
      <c r="F43" s="105"/>
      <c r="G43" s="117"/>
      <c r="H43" s="73"/>
      <c r="I43" s="73">
        <v>0</v>
      </c>
      <c r="J43" s="118">
        <v>0.05</v>
      </c>
      <c r="K43" s="72">
        <f>175.24/1.19</f>
        <v>147.26050420168067</v>
      </c>
      <c r="L43" s="72">
        <f t="shared" si="3"/>
        <v>0</v>
      </c>
      <c r="M43"/>
      <c r="N43" s="144"/>
      <c r="O43" s="35"/>
      <c r="P43" s="94">
        <v>0</v>
      </c>
      <c r="Q43" s="72">
        <v>0</v>
      </c>
      <c r="R43" s="94">
        <v>0</v>
      </c>
      <c r="S43" s="72">
        <v>0</v>
      </c>
      <c r="T43" s="94">
        <v>0</v>
      </c>
      <c r="U43" s="72">
        <v>0</v>
      </c>
      <c r="V43" s="94">
        <v>0</v>
      </c>
      <c r="W43" s="72">
        <v>0</v>
      </c>
      <c r="X43" s="72">
        <f t="shared" si="4"/>
        <v>0</v>
      </c>
      <c r="Y43" s="72">
        <v>0</v>
      </c>
      <c r="Z43" s="35"/>
      <c r="AA43" s="94">
        <f t="shared" si="5"/>
        <v>0</v>
      </c>
      <c r="AB43" s="93">
        <f t="shared" si="6"/>
        <v>0</v>
      </c>
      <c r="AC43" s="93">
        <f t="shared" si="7"/>
        <v>0</v>
      </c>
      <c r="AD43"/>
    </row>
    <row r="44" spans="2:30" s="57" customFormat="1" x14ac:dyDescent="0.2">
      <c r="B44" s="76" t="s">
        <v>68</v>
      </c>
      <c r="C44" s="61"/>
      <c r="D44" s="105"/>
      <c r="E44" s="105"/>
      <c r="F44" s="105"/>
      <c r="G44" s="117"/>
      <c r="H44" s="73"/>
      <c r="I44" s="73">
        <v>115</v>
      </c>
      <c r="J44" s="118">
        <v>0.1</v>
      </c>
      <c r="K44" s="72">
        <f>179.738/1.19</f>
        <v>151.04033613445378</v>
      </c>
      <c r="L44" s="72">
        <f t="shared" si="3"/>
        <v>1736.9638655462186</v>
      </c>
      <c r="M44"/>
      <c r="N44" s="144"/>
      <c r="O44" s="35"/>
      <c r="P44" s="94">
        <v>0</v>
      </c>
      <c r="Q44" s="72">
        <v>0</v>
      </c>
      <c r="R44" s="94">
        <v>0</v>
      </c>
      <c r="S44" s="72">
        <v>0</v>
      </c>
      <c r="T44" s="94">
        <v>0</v>
      </c>
      <c r="U44" s="72">
        <v>0</v>
      </c>
      <c r="V44" s="94">
        <v>0</v>
      </c>
      <c r="W44" s="72">
        <v>0</v>
      </c>
      <c r="X44" s="72">
        <f t="shared" si="4"/>
        <v>1736.9638655462186</v>
      </c>
      <c r="Y44" s="72">
        <v>0</v>
      </c>
      <c r="Z44" s="35"/>
      <c r="AA44" s="94">
        <f t="shared" si="5"/>
        <v>0</v>
      </c>
      <c r="AB44" s="93">
        <f t="shared" si="6"/>
        <v>0</v>
      </c>
      <c r="AC44" s="93">
        <f t="shared" si="7"/>
        <v>1736.9638655462186</v>
      </c>
      <c r="AD44"/>
    </row>
    <row r="45" spans="2:30" s="57" customFormat="1" x14ac:dyDescent="0.2">
      <c r="B45" s="76" t="s">
        <v>67</v>
      </c>
      <c r="C45" s="61"/>
      <c r="D45" s="105"/>
      <c r="E45" s="105"/>
      <c r="F45" s="105"/>
      <c r="G45" s="117"/>
      <c r="H45" s="73"/>
      <c r="I45" s="73">
        <v>18</v>
      </c>
      <c r="J45" s="118">
        <v>0.05</v>
      </c>
      <c r="K45" s="72">
        <f>140.0881/1.19</f>
        <v>117.72109243697479</v>
      </c>
      <c r="L45" s="72">
        <f t="shared" si="3"/>
        <v>105.94898319327731</v>
      </c>
      <c r="M45"/>
      <c r="N45" s="144"/>
      <c r="O45" s="35"/>
      <c r="P45" s="94">
        <v>0</v>
      </c>
      <c r="Q45" s="72">
        <v>0</v>
      </c>
      <c r="R45" s="94">
        <v>0</v>
      </c>
      <c r="S45" s="72">
        <v>0</v>
      </c>
      <c r="T45" s="94">
        <v>0</v>
      </c>
      <c r="U45" s="72">
        <v>0</v>
      </c>
      <c r="V45" s="94">
        <v>0</v>
      </c>
      <c r="W45" s="72">
        <v>0</v>
      </c>
      <c r="X45" s="72">
        <f t="shared" si="4"/>
        <v>105.94898319327731</v>
      </c>
      <c r="Y45" s="72">
        <v>0</v>
      </c>
      <c r="Z45" s="35"/>
      <c r="AA45" s="94">
        <f t="shared" si="5"/>
        <v>0</v>
      </c>
      <c r="AB45" s="93">
        <f t="shared" si="6"/>
        <v>0</v>
      </c>
      <c r="AC45" s="93">
        <f t="shared" si="7"/>
        <v>105.94898319327731</v>
      </c>
      <c r="AD45"/>
    </row>
    <row r="46" spans="2:30" s="57" customFormat="1" x14ac:dyDescent="0.2">
      <c r="B46" s="76" t="s">
        <v>66</v>
      </c>
      <c r="C46" s="61"/>
      <c r="D46" s="105"/>
      <c r="E46" s="105"/>
      <c r="F46" s="105"/>
      <c r="G46" s="117"/>
      <c r="H46" s="73"/>
      <c r="I46" s="73">
        <v>101</v>
      </c>
      <c r="J46" s="118">
        <v>0.05</v>
      </c>
      <c r="K46" s="72">
        <f>140.0881/1.19</f>
        <v>117.72109243697479</v>
      </c>
      <c r="L46" s="72">
        <f t="shared" si="3"/>
        <v>594.49151680672264</v>
      </c>
      <c r="M46"/>
      <c r="N46" s="144"/>
      <c r="O46" s="35"/>
      <c r="P46" s="94">
        <v>0</v>
      </c>
      <c r="Q46" s="72">
        <v>0</v>
      </c>
      <c r="R46" s="94">
        <v>0</v>
      </c>
      <c r="S46" s="72">
        <v>0</v>
      </c>
      <c r="T46" s="94">
        <v>0</v>
      </c>
      <c r="U46" s="72">
        <v>0</v>
      </c>
      <c r="V46" s="94">
        <v>0</v>
      </c>
      <c r="W46" s="72">
        <v>0</v>
      </c>
      <c r="X46" s="72">
        <f t="shared" si="4"/>
        <v>594.49151680672264</v>
      </c>
      <c r="Y46" s="72">
        <v>0</v>
      </c>
      <c r="Z46" s="35"/>
      <c r="AA46" s="94">
        <f t="shared" si="5"/>
        <v>0</v>
      </c>
      <c r="AB46" s="93">
        <f t="shared" si="6"/>
        <v>0</v>
      </c>
      <c r="AC46" s="93">
        <f t="shared" si="7"/>
        <v>594.49151680672264</v>
      </c>
      <c r="AD46"/>
    </row>
    <row r="47" spans="2:30" s="57" customFormat="1" x14ac:dyDescent="0.2">
      <c r="B47" s="76" t="s">
        <v>65</v>
      </c>
      <c r="C47" s="61"/>
      <c r="D47" s="105"/>
      <c r="E47" s="105"/>
      <c r="F47" s="105"/>
      <c r="G47" s="117"/>
      <c r="H47" s="73"/>
      <c r="I47" s="73">
        <v>16</v>
      </c>
      <c r="J47" s="118">
        <v>0.05</v>
      </c>
      <c r="K47" s="72">
        <f>140.0881/1.19</f>
        <v>117.72109243697479</v>
      </c>
      <c r="L47" s="72">
        <f t="shared" si="3"/>
        <v>94.176873949579829</v>
      </c>
      <c r="M47"/>
      <c r="N47" s="144"/>
      <c r="O47" s="35"/>
      <c r="P47" s="94">
        <v>0</v>
      </c>
      <c r="Q47" s="72">
        <v>0</v>
      </c>
      <c r="R47" s="94">
        <v>0</v>
      </c>
      <c r="S47" s="72">
        <v>0</v>
      </c>
      <c r="T47" s="94">
        <v>0</v>
      </c>
      <c r="U47" s="72">
        <v>0</v>
      </c>
      <c r="V47" s="94">
        <v>0</v>
      </c>
      <c r="W47" s="72">
        <v>0</v>
      </c>
      <c r="X47" s="72">
        <f t="shared" si="4"/>
        <v>94.176873949579829</v>
      </c>
      <c r="Y47" s="72">
        <v>0</v>
      </c>
      <c r="Z47" s="35"/>
      <c r="AA47" s="94">
        <f t="shared" si="5"/>
        <v>0</v>
      </c>
      <c r="AB47" s="93">
        <f t="shared" si="6"/>
        <v>0</v>
      </c>
      <c r="AC47" s="93">
        <f t="shared" si="7"/>
        <v>94.176873949579829</v>
      </c>
      <c r="AD47"/>
    </row>
    <row r="48" spans="2:30" s="57" customFormat="1" x14ac:dyDescent="0.2">
      <c r="B48" s="76" t="s">
        <v>64</v>
      </c>
      <c r="C48" s="61"/>
      <c r="D48" s="105"/>
      <c r="E48" s="105"/>
      <c r="F48" s="105"/>
      <c r="G48" s="117"/>
      <c r="H48" s="73"/>
      <c r="I48" s="73">
        <v>36</v>
      </c>
      <c r="J48" s="118">
        <v>0.05</v>
      </c>
      <c r="K48" s="72">
        <f>310.353/1.19</f>
        <v>260.80084033613446</v>
      </c>
      <c r="L48" s="72">
        <f t="shared" si="3"/>
        <v>469.44151260504202</v>
      </c>
      <c r="M48"/>
      <c r="N48" s="144"/>
      <c r="O48" s="35"/>
      <c r="P48" s="94">
        <v>0</v>
      </c>
      <c r="Q48" s="72">
        <v>0</v>
      </c>
      <c r="R48" s="94">
        <v>0</v>
      </c>
      <c r="S48" s="72">
        <v>0</v>
      </c>
      <c r="T48" s="94">
        <v>0</v>
      </c>
      <c r="U48" s="72">
        <v>0</v>
      </c>
      <c r="V48" s="94">
        <v>0</v>
      </c>
      <c r="W48" s="72">
        <v>0</v>
      </c>
      <c r="X48" s="72">
        <f t="shared" si="4"/>
        <v>469.44151260504202</v>
      </c>
      <c r="Y48" s="72">
        <v>0</v>
      </c>
      <c r="Z48" s="35"/>
      <c r="AA48" s="94">
        <f t="shared" si="5"/>
        <v>0</v>
      </c>
      <c r="AB48" s="93">
        <f t="shared" si="6"/>
        <v>0</v>
      </c>
      <c r="AC48" s="93">
        <f t="shared" si="7"/>
        <v>469.44151260504202</v>
      </c>
      <c r="AD48"/>
    </row>
    <row r="49" spans="2:30" s="57" customFormat="1" x14ac:dyDescent="0.2">
      <c r="B49" s="76" t="s">
        <v>63</v>
      </c>
      <c r="C49" s="61"/>
      <c r="D49" s="105"/>
      <c r="E49" s="105"/>
      <c r="F49" s="105"/>
      <c r="G49" s="117"/>
      <c r="H49" s="73"/>
      <c r="I49" s="73">
        <v>35</v>
      </c>
      <c r="J49" s="118">
        <v>0.1</v>
      </c>
      <c r="K49" s="72">
        <f>160.664/1.19</f>
        <v>135.01176470588234</v>
      </c>
      <c r="L49" s="72">
        <f t="shared" si="3"/>
        <v>472.5411764705882</v>
      </c>
      <c r="M49"/>
      <c r="N49" s="144"/>
      <c r="O49" s="35"/>
      <c r="P49" s="94">
        <v>0</v>
      </c>
      <c r="Q49" s="72">
        <v>0</v>
      </c>
      <c r="R49" s="94">
        <v>0</v>
      </c>
      <c r="S49" s="72">
        <v>0</v>
      </c>
      <c r="T49" s="94">
        <v>0</v>
      </c>
      <c r="U49" s="72">
        <v>0</v>
      </c>
      <c r="V49" s="94">
        <v>0</v>
      </c>
      <c r="W49" s="72">
        <v>0</v>
      </c>
      <c r="X49" s="72">
        <f t="shared" si="4"/>
        <v>472.5411764705882</v>
      </c>
      <c r="Y49" s="72">
        <v>0</v>
      </c>
      <c r="Z49" s="35"/>
      <c r="AA49" s="94">
        <f t="shared" si="5"/>
        <v>0</v>
      </c>
      <c r="AB49" s="93">
        <f t="shared" si="6"/>
        <v>0</v>
      </c>
      <c r="AC49" s="93">
        <f t="shared" si="7"/>
        <v>472.5411764705882</v>
      </c>
      <c r="AD49"/>
    </row>
    <row r="50" spans="2:30" s="57" customFormat="1" x14ac:dyDescent="0.2">
      <c r="B50" s="76" t="s">
        <v>62</v>
      </c>
      <c r="C50" s="61"/>
      <c r="D50" s="105"/>
      <c r="E50" s="105"/>
      <c r="F50" s="105"/>
      <c r="G50" s="117"/>
      <c r="H50" s="73"/>
      <c r="I50" s="73">
        <v>1371</v>
      </c>
      <c r="J50" s="118">
        <v>0.1</v>
      </c>
      <c r="K50" s="72">
        <f>160.664/1.19</f>
        <v>135.01176470588234</v>
      </c>
      <c r="L50" s="72">
        <f t="shared" si="3"/>
        <v>18510.11294117647</v>
      </c>
      <c r="M50"/>
      <c r="N50" s="144"/>
      <c r="O50" s="35"/>
      <c r="P50" s="94">
        <v>0</v>
      </c>
      <c r="Q50" s="72">
        <v>0</v>
      </c>
      <c r="R50" s="94">
        <v>0</v>
      </c>
      <c r="S50" s="72">
        <v>0</v>
      </c>
      <c r="T50" s="94">
        <v>0</v>
      </c>
      <c r="U50" s="72">
        <v>0</v>
      </c>
      <c r="V50" s="94">
        <v>0</v>
      </c>
      <c r="W50" s="72">
        <v>0</v>
      </c>
      <c r="X50" s="72">
        <f t="shared" si="4"/>
        <v>18510.11294117647</v>
      </c>
      <c r="Y50" s="72">
        <v>0</v>
      </c>
      <c r="Z50" s="35"/>
      <c r="AA50" s="94">
        <f t="shared" si="5"/>
        <v>0</v>
      </c>
      <c r="AB50" s="93">
        <f t="shared" si="6"/>
        <v>0</v>
      </c>
      <c r="AC50" s="93">
        <f t="shared" si="7"/>
        <v>18510.11294117647</v>
      </c>
      <c r="AD50"/>
    </row>
    <row r="51" spans="2:30" s="57" customFormat="1" x14ac:dyDescent="0.2">
      <c r="B51" s="76" t="s">
        <v>61</v>
      </c>
      <c r="C51" s="61"/>
      <c r="D51" s="105"/>
      <c r="E51" s="105"/>
      <c r="F51" s="105"/>
      <c r="G51" s="117"/>
      <c r="H51" s="73"/>
      <c r="I51" s="73">
        <f>4377-600</f>
        <v>3777</v>
      </c>
      <c r="J51" s="118">
        <v>0.1</v>
      </c>
      <c r="K51" s="72">
        <f>184.889/1.19</f>
        <v>155.36890756302523</v>
      </c>
      <c r="L51" s="72">
        <f t="shared" si="3"/>
        <v>58682.836386554634</v>
      </c>
      <c r="M51"/>
      <c r="N51" s="144"/>
      <c r="O51" s="35"/>
      <c r="P51" s="94">
        <v>0</v>
      </c>
      <c r="Q51" s="72">
        <v>0</v>
      </c>
      <c r="R51" s="94">
        <v>0</v>
      </c>
      <c r="S51" s="72">
        <v>0</v>
      </c>
      <c r="T51" s="94">
        <v>0</v>
      </c>
      <c r="U51" s="72">
        <v>0</v>
      </c>
      <c r="V51" s="94">
        <v>0</v>
      </c>
      <c r="W51" s="72">
        <v>0</v>
      </c>
      <c r="X51" s="72">
        <f t="shared" si="4"/>
        <v>58682.836386554634</v>
      </c>
      <c r="Y51" s="72">
        <v>0</v>
      </c>
      <c r="Z51" s="35"/>
      <c r="AA51" s="94">
        <f t="shared" si="5"/>
        <v>0</v>
      </c>
      <c r="AB51" s="93">
        <f t="shared" si="6"/>
        <v>0</v>
      </c>
      <c r="AC51" s="93">
        <f t="shared" si="7"/>
        <v>58682.836386554634</v>
      </c>
      <c r="AD51"/>
    </row>
    <row r="52" spans="2:30" s="57" customFormat="1" x14ac:dyDescent="0.2">
      <c r="B52" s="76" t="s">
        <v>60</v>
      </c>
      <c r="C52" s="61"/>
      <c r="D52" s="105"/>
      <c r="E52" s="105"/>
      <c r="F52" s="105"/>
      <c r="G52" s="117"/>
      <c r="H52" s="73"/>
      <c r="I52" s="73">
        <v>555</v>
      </c>
      <c r="J52" s="118">
        <v>0.1</v>
      </c>
      <c r="K52" s="72">
        <f>184.889/1.19</f>
        <v>155.36890756302523</v>
      </c>
      <c r="L52" s="72">
        <f t="shared" si="3"/>
        <v>8622.9743697479007</v>
      </c>
      <c r="M52"/>
      <c r="N52" s="144"/>
      <c r="O52" s="35"/>
      <c r="P52" s="94">
        <v>0</v>
      </c>
      <c r="Q52" s="72">
        <v>0</v>
      </c>
      <c r="R52" s="94">
        <v>0</v>
      </c>
      <c r="S52" s="72">
        <v>0</v>
      </c>
      <c r="T52" s="94">
        <v>0</v>
      </c>
      <c r="U52" s="72">
        <v>0</v>
      </c>
      <c r="V52" s="94">
        <v>0</v>
      </c>
      <c r="W52" s="72">
        <v>0</v>
      </c>
      <c r="X52" s="72">
        <f t="shared" si="4"/>
        <v>8622.9743697479007</v>
      </c>
      <c r="Y52" s="72">
        <v>0</v>
      </c>
      <c r="Z52" s="35"/>
      <c r="AA52" s="94">
        <f t="shared" si="5"/>
        <v>0</v>
      </c>
      <c r="AB52" s="93">
        <f t="shared" si="6"/>
        <v>0</v>
      </c>
      <c r="AC52" s="93">
        <f t="shared" si="7"/>
        <v>8622.9743697479007</v>
      </c>
      <c r="AD52"/>
    </row>
    <row r="53" spans="2:30" s="57" customFormat="1" x14ac:dyDescent="0.2">
      <c r="B53" s="76" t="s">
        <v>59</v>
      </c>
      <c r="C53" s="61"/>
      <c r="D53" s="105"/>
      <c r="E53" s="105"/>
      <c r="F53" s="105"/>
      <c r="G53" s="117"/>
      <c r="H53" s="73"/>
      <c r="I53" s="73">
        <v>51</v>
      </c>
      <c r="J53" s="118">
        <v>0.05</v>
      </c>
      <c r="K53" s="72">
        <f>205.868/1.19</f>
        <v>172.99831932773108</v>
      </c>
      <c r="L53" s="72">
        <f t="shared" si="3"/>
        <v>441.14571428571429</v>
      </c>
      <c r="M53"/>
      <c r="N53" s="144"/>
      <c r="O53" s="35"/>
      <c r="P53" s="94">
        <v>0</v>
      </c>
      <c r="Q53" s="72">
        <v>0</v>
      </c>
      <c r="R53" s="94">
        <v>0</v>
      </c>
      <c r="S53" s="72">
        <v>0</v>
      </c>
      <c r="T53" s="94">
        <v>0</v>
      </c>
      <c r="U53" s="72">
        <v>0</v>
      </c>
      <c r="V53" s="94">
        <v>0</v>
      </c>
      <c r="W53" s="72">
        <v>0</v>
      </c>
      <c r="X53" s="72">
        <f t="shared" si="4"/>
        <v>441.14571428571429</v>
      </c>
      <c r="Y53" s="72">
        <v>0</v>
      </c>
      <c r="Z53" s="35"/>
      <c r="AA53" s="94">
        <f t="shared" si="5"/>
        <v>0</v>
      </c>
      <c r="AB53" s="93">
        <f t="shared" si="6"/>
        <v>0</v>
      </c>
      <c r="AC53" s="93">
        <f t="shared" si="7"/>
        <v>441.14571428571429</v>
      </c>
      <c r="AD53"/>
    </row>
    <row r="54" spans="2:30" s="57" customFormat="1" x14ac:dyDescent="0.2">
      <c r="B54" s="76" t="s">
        <v>58</v>
      </c>
      <c r="C54" s="61"/>
      <c r="D54" s="105"/>
      <c r="E54" s="105"/>
      <c r="F54" s="105"/>
      <c r="G54" s="117"/>
      <c r="H54" s="73"/>
      <c r="I54" s="73">
        <v>5</v>
      </c>
      <c r="J54" s="118">
        <v>0.05</v>
      </c>
      <c r="K54" s="72">
        <f>205.868/1.19</f>
        <v>172.99831932773108</v>
      </c>
      <c r="L54" s="72">
        <f t="shared" si="3"/>
        <v>43.249579831932778</v>
      </c>
      <c r="M54"/>
      <c r="N54" s="144"/>
      <c r="O54" s="35"/>
      <c r="P54" s="94">
        <v>0</v>
      </c>
      <c r="Q54" s="72">
        <v>0</v>
      </c>
      <c r="R54" s="94">
        <v>0</v>
      </c>
      <c r="S54" s="72">
        <v>0</v>
      </c>
      <c r="T54" s="94">
        <v>0</v>
      </c>
      <c r="U54" s="72">
        <v>0</v>
      </c>
      <c r="V54" s="94">
        <v>0</v>
      </c>
      <c r="W54" s="72">
        <v>0</v>
      </c>
      <c r="X54" s="72">
        <f t="shared" si="4"/>
        <v>43.249579831932778</v>
      </c>
      <c r="Y54" s="72">
        <v>0</v>
      </c>
      <c r="Z54" s="35"/>
      <c r="AA54" s="94">
        <f t="shared" si="5"/>
        <v>0</v>
      </c>
      <c r="AB54" s="93">
        <f t="shared" si="6"/>
        <v>0</v>
      </c>
      <c r="AC54" s="93">
        <f t="shared" si="7"/>
        <v>43.249579831932778</v>
      </c>
      <c r="AD54"/>
    </row>
    <row r="55" spans="2:30" s="57" customFormat="1" x14ac:dyDescent="0.2">
      <c r="B55" s="76" t="s">
        <v>57</v>
      </c>
      <c r="C55" s="61"/>
      <c r="D55" s="105"/>
      <c r="E55" s="105"/>
      <c r="F55" s="105"/>
      <c r="G55" s="117"/>
      <c r="H55" s="73"/>
      <c r="I55" s="73">
        <v>0</v>
      </c>
      <c r="J55" s="118">
        <v>0.05</v>
      </c>
      <c r="K55" s="72">
        <f>310.353/1.19</f>
        <v>260.80084033613446</v>
      </c>
      <c r="L55" s="72">
        <f t="shared" si="3"/>
        <v>0</v>
      </c>
      <c r="M55"/>
      <c r="N55" s="144"/>
      <c r="O55" s="35"/>
      <c r="P55" s="94">
        <v>0</v>
      </c>
      <c r="Q55" s="72">
        <v>0</v>
      </c>
      <c r="R55" s="94">
        <v>0</v>
      </c>
      <c r="S55" s="72">
        <v>0</v>
      </c>
      <c r="T55" s="94">
        <v>0</v>
      </c>
      <c r="U55" s="72">
        <v>0</v>
      </c>
      <c r="V55" s="94">
        <v>0</v>
      </c>
      <c r="W55" s="72">
        <v>0</v>
      </c>
      <c r="X55" s="72">
        <v>0</v>
      </c>
      <c r="Y55" s="72">
        <v>0</v>
      </c>
      <c r="Z55" s="35"/>
      <c r="AA55" s="94">
        <f t="shared" si="5"/>
        <v>0</v>
      </c>
      <c r="AB55" s="93">
        <f t="shared" si="6"/>
        <v>0</v>
      </c>
      <c r="AC55" s="93">
        <f t="shared" si="7"/>
        <v>0</v>
      </c>
      <c r="AD55"/>
    </row>
    <row r="56" spans="2:30" s="57" customFormat="1" x14ac:dyDescent="0.2">
      <c r="B56" s="76" t="s">
        <v>56</v>
      </c>
      <c r="C56" s="61"/>
      <c r="D56" s="105"/>
      <c r="E56" s="105"/>
      <c r="F56" s="105"/>
      <c r="G56" s="117"/>
      <c r="H56" s="73" t="s">
        <v>55</v>
      </c>
      <c r="I56" s="103">
        <f>'[1]Annex 1_OLD'!F47</f>
        <v>603</v>
      </c>
      <c r="J56" s="116" t="s">
        <v>30</v>
      </c>
      <c r="K56" s="72">
        <f>25/1.19</f>
        <v>21.008403361344538</v>
      </c>
      <c r="L56" s="72">
        <f>I56*K56</f>
        <v>12668.067226890757</v>
      </c>
      <c r="M56"/>
      <c r="N56" s="144"/>
      <c r="O56" s="35"/>
      <c r="P56" s="94">
        <v>0</v>
      </c>
      <c r="Q56" s="72">
        <v>0</v>
      </c>
      <c r="R56" s="94">
        <f>ROUND(I56/20*8*2,0)</f>
        <v>482</v>
      </c>
      <c r="S56" s="72">
        <f>R56*VLOOKUP($G$7,'[1]Conveni colectiu'!$B$6:$G$18,6,0)</f>
        <v>8857.0661121257144</v>
      </c>
      <c r="T56" s="94">
        <v>0</v>
      </c>
      <c r="U56" s="72">
        <v>0</v>
      </c>
      <c r="V56" s="94">
        <v>0</v>
      </c>
      <c r="W56" s="72">
        <v>0</v>
      </c>
      <c r="X56" s="72">
        <f>L56-S56-Y56</f>
        <v>2392.1775853532772</v>
      </c>
      <c r="Y56" s="72">
        <f>(I56/20)*2*J30</f>
        <v>1418.8235294117646</v>
      </c>
      <c r="Z56" s="35"/>
      <c r="AA56" s="94">
        <f t="shared" si="5"/>
        <v>482</v>
      </c>
      <c r="AB56" s="93">
        <f t="shared" si="6"/>
        <v>8857.0661121257144</v>
      </c>
      <c r="AC56" s="93">
        <f t="shared" si="7"/>
        <v>3811.0011147650421</v>
      </c>
      <c r="AD56"/>
    </row>
    <row r="58" spans="2:30" x14ac:dyDescent="0.2">
      <c r="B58" s="32" t="s">
        <v>54</v>
      </c>
      <c r="C58" s="61"/>
      <c r="D58" s="115"/>
      <c r="E58" s="115"/>
      <c r="F58" s="114"/>
      <c r="G58" s="113"/>
      <c r="H58" s="113"/>
      <c r="I58" s="113"/>
      <c r="J58" s="112"/>
      <c r="K58" s="112"/>
      <c r="L58" s="31">
        <f>SUM(L39:L56)</f>
        <v>102534.54804621848</v>
      </c>
      <c r="N58" s="39"/>
      <c r="O58" s="101"/>
      <c r="P58" s="101"/>
      <c r="Q58" s="101"/>
      <c r="R58" s="101"/>
      <c r="S58" s="101"/>
      <c r="T58" s="101"/>
      <c r="U58" s="101"/>
      <c r="V58" s="101"/>
      <c r="W58" s="101"/>
      <c r="X58" s="101"/>
      <c r="Y58" s="101"/>
      <c r="Z58" s="101"/>
      <c r="AA58" s="101"/>
      <c r="AB58" s="101"/>
      <c r="AC58" s="101"/>
    </row>
    <row r="59" spans="2:30" x14ac:dyDescent="0.2">
      <c r="B59" s="62"/>
      <c r="C59" s="61"/>
      <c r="D59" s="111"/>
      <c r="E59" s="111"/>
      <c r="F59" s="110"/>
      <c r="G59" s="109"/>
      <c r="H59" s="109"/>
      <c r="I59" s="109"/>
      <c r="J59" s="30"/>
      <c r="K59" s="30"/>
      <c r="L59" s="108"/>
      <c r="N59" s="39"/>
      <c r="O59" s="101"/>
      <c r="P59" s="101"/>
      <c r="Q59" s="101"/>
      <c r="R59" s="101"/>
      <c r="S59" s="101"/>
      <c r="T59" s="101"/>
      <c r="U59" s="101"/>
      <c r="V59" s="101"/>
      <c r="W59" s="101"/>
      <c r="X59" s="101"/>
      <c r="Y59" s="101"/>
      <c r="Z59" s="101"/>
      <c r="AA59" s="101"/>
      <c r="AB59" s="101"/>
      <c r="AC59" s="101"/>
    </row>
    <row r="60" spans="2:30" x14ac:dyDescent="0.2">
      <c r="B60" s="107" t="s">
        <v>53</v>
      </c>
      <c r="L60" s="99"/>
      <c r="N60" s="99"/>
      <c r="O60" s="99"/>
      <c r="P60" s="99"/>
      <c r="Q60" s="99"/>
      <c r="R60" s="99"/>
      <c r="S60" s="99"/>
      <c r="T60" s="99"/>
      <c r="U60" s="99"/>
      <c r="V60" s="99"/>
      <c r="W60" s="99"/>
      <c r="X60" s="99"/>
      <c r="Y60" s="99"/>
      <c r="Z60" s="99"/>
      <c r="AA60" s="99"/>
      <c r="AB60" s="99"/>
      <c r="AC60" s="99"/>
    </row>
    <row r="61" spans="2:30" s="57" customFormat="1" ht="38.25" x14ac:dyDescent="0.2">
      <c r="G61" s="59"/>
      <c r="H61" s="59"/>
      <c r="I61" s="79" t="s">
        <v>52</v>
      </c>
      <c r="J61" s="79" t="s">
        <v>51</v>
      </c>
      <c r="K61" s="106" t="s">
        <v>50</v>
      </c>
      <c r="L61" s="77" t="s">
        <v>33</v>
      </c>
      <c r="M61"/>
      <c r="N61" s="36" t="s">
        <v>28</v>
      </c>
      <c r="O61" s="38"/>
      <c r="P61" s="36" t="s">
        <v>25</v>
      </c>
      <c r="Q61" s="36" t="s">
        <v>24</v>
      </c>
      <c r="R61" s="36" t="s">
        <v>23</v>
      </c>
      <c r="S61" s="36" t="s">
        <v>22</v>
      </c>
      <c r="T61" s="36" t="s">
        <v>21</v>
      </c>
      <c r="U61" s="36" t="s">
        <v>20</v>
      </c>
      <c r="V61" s="36" t="s">
        <v>19</v>
      </c>
      <c r="W61" s="36" t="s">
        <v>18</v>
      </c>
      <c r="X61" s="36" t="s">
        <v>17</v>
      </c>
      <c r="Y61" s="36" t="s">
        <v>16</v>
      </c>
      <c r="Z61" s="38"/>
      <c r="AA61" s="36" t="s">
        <v>15</v>
      </c>
      <c r="AB61" s="36" t="s">
        <v>14</v>
      </c>
      <c r="AC61" s="36" t="s">
        <v>13</v>
      </c>
      <c r="AD61"/>
    </row>
    <row r="62" spans="2:30" s="57" customFormat="1" x14ac:dyDescent="0.2">
      <c r="G62" s="59"/>
      <c r="H62" s="59"/>
      <c r="I62" s="79"/>
      <c r="J62" s="79"/>
      <c r="K62" s="79"/>
      <c r="L62" s="38"/>
      <c r="M62"/>
      <c r="N62"/>
      <c r="O62" s="38"/>
      <c r="P62" s="77"/>
      <c r="Q62" s="77"/>
      <c r="R62" s="77"/>
      <c r="S62" s="77"/>
      <c r="T62" s="77"/>
      <c r="U62" s="77"/>
      <c r="V62" s="77"/>
      <c r="W62" s="77"/>
      <c r="X62" s="77"/>
      <c r="Y62" s="77"/>
      <c r="Z62" s="38"/>
      <c r="AA62" s="77"/>
      <c r="AB62" s="77"/>
      <c r="AC62" s="77"/>
      <c r="AD62"/>
    </row>
    <row r="63" spans="2:30" s="57" customFormat="1" x14ac:dyDescent="0.2">
      <c r="B63" s="76" t="s">
        <v>49</v>
      </c>
      <c r="C63" s="61"/>
      <c r="D63" s="105"/>
      <c r="E63" s="105"/>
      <c r="F63" s="105"/>
      <c r="G63" s="104"/>
      <c r="H63" s="104"/>
      <c r="I63" s="103">
        <v>200</v>
      </c>
      <c r="J63" s="102">
        <f>100</f>
        <v>100</v>
      </c>
      <c r="K63" s="72">
        <f>24/1.19</f>
        <v>20.168067226890756</v>
      </c>
      <c r="L63" s="72">
        <f>J63*K63</f>
        <v>2016.8067226890755</v>
      </c>
      <c r="M63"/>
      <c r="N63" s="144"/>
      <c r="O63" s="101"/>
      <c r="P63" s="37">
        <v>0</v>
      </c>
      <c r="Q63" s="37">
        <v>0</v>
      </c>
      <c r="R63" s="37">
        <f>ROUND(I63/20*8,0)*0.5</f>
        <v>40</v>
      </c>
      <c r="S63" s="37">
        <f>R63*('[1]Conveni colectiu'!G13)</f>
        <v>735.02623337142859</v>
      </c>
      <c r="T63" s="37">
        <f>ROUND(I63/20*8,0)*0.5</f>
        <v>40</v>
      </c>
      <c r="U63" s="37">
        <f>T63*('[1]Conveni colectiu'!G17)</f>
        <v>705.23574850285718</v>
      </c>
      <c r="V63" s="37">
        <v>0</v>
      </c>
      <c r="W63" s="37">
        <v>0</v>
      </c>
      <c r="X63" s="37">
        <f>L63-S63-U63-Y63</f>
        <v>341.25062316773091</v>
      </c>
      <c r="Y63" s="37">
        <f>(R63/4*J16)</f>
        <v>235.29411764705884</v>
      </c>
      <c r="Z63" s="35"/>
      <c r="AA63" s="37">
        <f>SUM(R63,T63,V63,P63)</f>
        <v>80</v>
      </c>
      <c r="AB63" s="37">
        <f>SUM(S63,U63,W63,Q63)</f>
        <v>1440.2619818742858</v>
      </c>
      <c r="AC63" s="37">
        <f>SUM(X63:Y63)</f>
        <v>576.54474081478975</v>
      </c>
      <c r="AD63"/>
    </row>
    <row r="64" spans="2:30" x14ac:dyDescent="0.2">
      <c r="L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99"/>
      <c r="Z64" s="99"/>
      <c r="AA64" s="99"/>
      <c r="AB64" s="99"/>
      <c r="AC64" s="99"/>
    </row>
    <row r="65" spans="2:30" x14ac:dyDescent="0.2">
      <c r="L65" s="99"/>
      <c r="N65" s="99"/>
      <c r="O65" s="99"/>
      <c r="P65" s="55" t="s">
        <v>27</v>
      </c>
      <c r="Q65" s="54"/>
      <c r="R65" s="54"/>
      <c r="S65" s="54"/>
      <c r="T65" s="54"/>
      <c r="U65" s="54"/>
      <c r="V65" s="54"/>
      <c r="W65" s="54"/>
      <c r="X65" s="54"/>
      <c r="Y65" s="53"/>
      <c r="Z65" s="56"/>
      <c r="AA65" s="55"/>
      <c r="AB65" s="54"/>
      <c r="AC65" s="53"/>
    </row>
    <row r="66" spans="2:30" ht="38.25" x14ac:dyDescent="0.2">
      <c r="F66" s="100"/>
      <c r="G66" s="100"/>
      <c r="H66" s="100"/>
      <c r="I66" s="100"/>
      <c r="L66" s="99"/>
      <c r="N66" s="99"/>
      <c r="O66" s="99"/>
      <c r="P66" s="52" t="s">
        <v>25</v>
      </c>
      <c r="Q66" s="52" t="s">
        <v>24</v>
      </c>
      <c r="R66" s="52" t="s">
        <v>23</v>
      </c>
      <c r="S66" s="52" t="s">
        <v>22</v>
      </c>
      <c r="T66" s="52" t="s">
        <v>21</v>
      </c>
      <c r="U66" s="52" t="s">
        <v>20</v>
      </c>
      <c r="V66" s="52" t="s">
        <v>19</v>
      </c>
      <c r="W66" s="52" t="s">
        <v>18</v>
      </c>
      <c r="X66" s="52" t="s">
        <v>17</v>
      </c>
      <c r="Y66" s="52" t="s">
        <v>16</v>
      </c>
      <c r="Z66" s="46"/>
      <c r="AA66" s="52" t="s">
        <v>15</v>
      </c>
      <c r="AB66" s="52" t="s">
        <v>14</v>
      </c>
      <c r="AC66" s="52" t="s">
        <v>13</v>
      </c>
    </row>
    <row r="67" spans="2:30" s="57" customFormat="1" x14ac:dyDescent="0.2">
      <c r="B67"/>
      <c r="C67"/>
      <c r="D67"/>
      <c r="E67"/>
      <c r="F67"/>
      <c r="G67"/>
      <c r="H67"/>
      <c r="I67"/>
      <c r="J67"/>
      <c r="K67"/>
      <c r="L67"/>
      <c r="M67"/>
      <c r="P67" s="143"/>
      <c r="Q67" s="144"/>
      <c r="R67" s="143"/>
      <c r="S67" s="144"/>
      <c r="T67" s="143"/>
      <c r="U67" s="144"/>
      <c r="V67" s="143"/>
      <c r="W67" s="144"/>
      <c r="X67" s="144"/>
      <c r="Y67" s="144"/>
      <c r="Z67" s="46"/>
      <c r="AA67" s="45">
        <f>SUM(P67,R67,T67,V67)</f>
        <v>0</v>
      </c>
      <c r="AB67" s="45">
        <f>SUM(Q67,S67,U67,W67)</f>
        <v>0</v>
      </c>
      <c r="AC67" s="45">
        <f>SUM(X67,Y67)</f>
        <v>0</v>
      </c>
      <c r="AD67"/>
    </row>
    <row r="68" spans="2:30" s="57" customFormat="1" x14ac:dyDescent="0.2">
      <c r="B68" s="51" t="s">
        <v>48</v>
      </c>
      <c r="C68" s="85"/>
      <c r="D68" s="81"/>
      <c r="E68" s="81"/>
      <c r="F68" s="84"/>
      <c r="G68" s="83"/>
      <c r="H68" s="82"/>
      <c r="I68" s="82"/>
      <c r="J68" s="81"/>
      <c r="K68" s="81"/>
      <c r="L68" s="80"/>
      <c r="M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</row>
    <row r="69" spans="2:30" x14ac:dyDescent="0.2">
      <c r="C69"/>
      <c r="G69"/>
      <c r="H69"/>
      <c r="I69"/>
    </row>
    <row r="70" spans="2:30" s="57" customFormat="1" ht="38.25" x14ac:dyDescent="0.2">
      <c r="C70" s="61"/>
      <c r="D70" s="79" t="s">
        <v>37</v>
      </c>
      <c r="E70" s="79" t="s">
        <v>36</v>
      </c>
      <c r="F70" s="79" t="s">
        <v>45</v>
      </c>
      <c r="G70" s="79" t="s">
        <v>44</v>
      </c>
      <c r="H70" s="79" t="s">
        <v>43</v>
      </c>
      <c r="I70" s="79" t="s">
        <v>42</v>
      </c>
      <c r="J70" s="79" t="s">
        <v>35</v>
      </c>
      <c r="K70" s="79" t="s">
        <v>34</v>
      </c>
      <c r="L70" s="77" t="s">
        <v>33</v>
      </c>
      <c r="M70"/>
      <c r="N70" s="36" t="s">
        <v>28</v>
      </c>
      <c r="O70" s="38"/>
      <c r="P70" s="36" t="s">
        <v>25</v>
      </c>
      <c r="Q70" s="36" t="s">
        <v>24</v>
      </c>
      <c r="R70" s="36" t="s">
        <v>23</v>
      </c>
      <c r="S70" s="36" t="s">
        <v>22</v>
      </c>
      <c r="T70" s="36" t="s">
        <v>21</v>
      </c>
      <c r="U70" s="36" t="s">
        <v>20</v>
      </c>
      <c r="V70" s="36" t="s">
        <v>19</v>
      </c>
      <c r="W70" s="36" t="s">
        <v>18</v>
      </c>
      <c r="X70" s="36" t="s">
        <v>17</v>
      </c>
      <c r="Y70" s="36" t="s">
        <v>16</v>
      </c>
      <c r="Z70" s="38"/>
      <c r="AA70" s="36" t="s">
        <v>15</v>
      </c>
      <c r="AB70" s="36" t="s">
        <v>14</v>
      </c>
      <c r="AC70" s="36" t="s">
        <v>13</v>
      </c>
      <c r="AD70"/>
    </row>
    <row r="71" spans="2:30" s="57" customFormat="1" x14ac:dyDescent="0.2">
      <c r="C71" s="61"/>
      <c r="D71" s="79"/>
      <c r="E71" s="79"/>
      <c r="F71" s="98">
        <v>4</v>
      </c>
      <c r="G71" s="98">
        <v>5</v>
      </c>
      <c r="H71" s="98">
        <v>7</v>
      </c>
      <c r="I71" s="98">
        <v>2</v>
      </c>
      <c r="J71" s="79"/>
      <c r="K71" s="79"/>
      <c r="L71" s="77"/>
      <c r="M71"/>
      <c r="N71" s="38"/>
      <c r="O71" s="38"/>
      <c r="P71" s="77"/>
      <c r="Q71" s="77"/>
      <c r="R71" s="77"/>
      <c r="S71" s="77"/>
      <c r="T71" s="77"/>
      <c r="U71" s="77"/>
      <c r="V71" s="77"/>
      <c r="W71" s="77"/>
      <c r="X71" s="77"/>
      <c r="Y71" s="77"/>
      <c r="Z71" s="38"/>
      <c r="AA71" s="77"/>
      <c r="AB71" s="77"/>
      <c r="AC71" s="77"/>
      <c r="AD71"/>
    </row>
    <row r="72" spans="2:30" s="57" customFormat="1" x14ac:dyDescent="0.2">
      <c r="B72" s="76" t="s">
        <v>47</v>
      </c>
      <c r="C72" s="91"/>
      <c r="D72" s="74">
        <v>200</v>
      </c>
      <c r="E72" s="37" t="s">
        <v>30</v>
      </c>
      <c r="F72" s="73">
        <v>1</v>
      </c>
      <c r="G72" s="73" t="s">
        <v>30</v>
      </c>
      <c r="H72" s="73">
        <v>1</v>
      </c>
      <c r="I72" s="73" t="s">
        <v>30</v>
      </c>
      <c r="J72" s="72">
        <f>28/1.19</f>
        <v>23.529411764705884</v>
      </c>
      <c r="K72" s="72">
        <f>L72/D72</f>
        <v>85.169287344067229</v>
      </c>
      <c r="L72" s="72">
        <f>J72*D72/2+(F72*VLOOKUP($F$71,'[1]Conveni colectiu'!$B$6:$G$18,6,0)+H72*VLOOKUP($H$71,'[1]Conveni colectiu'!$B$6:$G$18,6,0))*2*D72</f>
        <v>17033.857468813447</v>
      </c>
      <c r="M72"/>
      <c r="N72" s="144"/>
      <c r="O72" s="35"/>
      <c r="P72" s="94">
        <f>F72*2*D72</f>
        <v>400</v>
      </c>
      <c r="Q72" s="72">
        <f>(F72*VLOOKUP($F$71,'[1]Conveni colectiu'!$B$6:$G$18,6,0))*2*D72</f>
        <v>7628.5588073142862</v>
      </c>
      <c r="R72" s="94">
        <v>0</v>
      </c>
      <c r="S72" s="72">
        <v>0</v>
      </c>
      <c r="T72" s="94">
        <f>H72*2*D72</f>
        <v>400</v>
      </c>
      <c r="U72" s="72">
        <f>H72*VLOOKUP($H$71,'[1]Conveni colectiu'!$B$6:$G$18,6,0)*2*D72</f>
        <v>7052.3574850285713</v>
      </c>
      <c r="V72" s="94">
        <v>0</v>
      </c>
      <c r="W72" s="72">
        <v>0</v>
      </c>
      <c r="X72" s="72">
        <v>0</v>
      </c>
      <c r="Y72" s="72">
        <f>J72*D72/2</f>
        <v>2352.9411764705883</v>
      </c>
      <c r="Z72" s="35"/>
      <c r="AA72" s="94">
        <f>SUM(R72,T72,V72,P72)</f>
        <v>800</v>
      </c>
      <c r="AB72" s="93">
        <f>SUM(S72,U72,W72,Q72)</f>
        <v>14680.916292342858</v>
      </c>
      <c r="AC72" s="93">
        <f>SUM(X72:Y72)</f>
        <v>2352.9411764705883</v>
      </c>
      <c r="AD72"/>
    </row>
    <row r="73" spans="2:30" s="57" customFormat="1" x14ac:dyDescent="0.2">
      <c r="B73" s="76" t="s">
        <v>46</v>
      </c>
      <c r="C73" s="91"/>
      <c r="D73" s="74">
        <v>16422</v>
      </c>
      <c r="E73" s="37" t="s">
        <v>30</v>
      </c>
      <c r="F73" s="73">
        <v>1</v>
      </c>
      <c r="G73" s="73" t="s">
        <v>30</v>
      </c>
      <c r="H73" s="73">
        <v>1</v>
      </c>
      <c r="I73" s="73" t="s">
        <v>30</v>
      </c>
      <c r="J73" s="72">
        <f>28/1.19</f>
        <v>23.529411764705884</v>
      </c>
      <c r="K73" s="72">
        <f>L73/D73</f>
        <v>1.037258401462273</v>
      </c>
      <c r="L73" s="72">
        <f>J73*D72/2+(F73*VLOOKUP($F$71,'[1]Conveni colectiu'!$B$6:$G$18,6,0)+H73*VLOOKUP($H$71,'[1]Conveni colectiu'!$B$6:$G$18,6,0))*2*D72</f>
        <v>17033.857468813447</v>
      </c>
      <c r="M73"/>
      <c r="N73" s="144"/>
      <c r="O73" s="35"/>
      <c r="P73" s="94">
        <f>F73*2*D72</f>
        <v>400</v>
      </c>
      <c r="Q73" s="72">
        <f>F73*VLOOKUP($F$71,'[1]Conveni colectiu'!$B$6:$G$18,6,0)*2*D72</f>
        <v>7628.5588073142862</v>
      </c>
      <c r="R73" s="94">
        <v>0</v>
      </c>
      <c r="S73" s="72">
        <v>0</v>
      </c>
      <c r="T73" s="94">
        <f>H73*2*D72</f>
        <v>400</v>
      </c>
      <c r="U73" s="72">
        <f>H73*VLOOKUP($H$71,'[1]Conveni colectiu'!$B$6:$G$18,6,0)*2*D72</f>
        <v>7052.3574850285713</v>
      </c>
      <c r="V73" s="94">
        <v>0</v>
      </c>
      <c r="W73" s="72">
        <v>0</v>
      </c>
      <c r="X73" s="72">
        <f>0</f>
        <v>0</v>
      </c>
      <c r="Y73" s="72">
        <f>J73*D72/2</f>
        <v>2352.9411764705883</v>
      </c>
      <c r="Z73" s="35"/>
      <c r="AA73" s="94">
        <f>SUM(R73,T73,V73,P73)</f>
        <v>800</v>
      </c>
      <c r="AB73" s="93">
        <f>SUM(S73,U73,W73,Q73)</f>
        <v>14680.916292342858</v>
      </c>
      <c r="AC73" s="93">
        <f>SUM(X73:Y73)</f>
        <v>2352.9411764705883</v>
      </c>
      <c r="AD73"/>
    </row>
    <row r="74" spans="2:30" s="57" customFormat="1" x14ac:dyDescent="0.2">
      <c r="L74" s="97"/>
      <c r="M74"/>
      <c r="N74" s="35"/>
      <c r="O74" s="35"/>
      <c r="AD74"/>
    </row>
    <row r="75" spans="2:30" s="57" customFormat="1" x14ac:dyDescent="0.2">
      <c r="L75" s="61"/>
      <c r="M75"/>
      <c r="N75" s="35"/>
      <c r="O75" s="35"/>
      <c r="P75" s="55" t="s">
        <v>27</v>
      </c>
      <c r="Q75" s="54"/>
      <c r="R75" s="54"/>
      <c r="S75" s="54"/>
      <c r="T75" s="54"/>
      <c r="U75" s="54"/>
      <c r="V75" s="54"/>
      <c r="W75" s="54"/>
      <c r="X75" s="54"/>
      <c r="Y75" s="53"/>
      <c r="Z75" s="56"/>
      <c r="AA75" s="55"/>
      <c r="AB75" s="54"/>
      <c r="AC75" s="53"/>
      <c r="AD75"/>
    </row>
    <row r="76" spans="2:30" s="57" customFormat="1" ht="38.25" x14ac:dyDescent="0.2">
      <c r="L76" s="61"/>
      <c r="M76"/>
      <c r="N76" s="35"/>
      <c r="O76" s="35"/>
      <c r="P76" s="52" t="s">
        <v>25</v>
      </c>
      <c r="Q76" s="52" t="s">
        <v>24</v>
      </c>
      <c r="R76" s="52" t="s">
        <v>23</v>
      </c>
      <c r="S76" s="52" t="s">
        <v>22</v>
      </c>
      <c r="T76" s="52" t="s">
        <v>21</v>
      </c>
      <c r="U76" s="52" t="s">
        <v>20</v>
      </c>
      <c r="V76" s="52" t="s">
        <v>19</v>
      </c>
      <c r="W76" s="52" t="s">
        <v>18</v>
      </c>
      <c r="X76" s="52" t="s">
        <v>17</v>
      </c>
      <c r="Y76" s="52" t="s">
        <v>16</v>
      </c>
      <c r="Z76" s="46"/>
      <c r="AA76" s="52" t="s">
        <v>15</v>
      </c>
      <c r="AB76" s="52" t="s">
        <v>14</v>
      </c>
      <c r="AC76" s="52" t="s">
        <v>13</v>
      </c>
      <c r="AD76"/>
    </row>
    <row r="77" spans="2:30" s="57" customFormat="1" x14ac:dyDescent="0.2">
      <c r="L77" s="61"/>
      <c r="M77"/>
      <c r="N77" s="35"/>
      <c r="O77" s="35"/>
      <c r="P77" s="143"/>
      <c r="Q77" s="144"/>
      <c r="R77" s="143"/>
      <c r="S77" s="144"/>
      <c r="T77" s="143"/>
      <c r="U77" s="144"/>
      <c r="V77" s="143"/>
      <c r="W77" s="144"/>
      <c r="X77" s="144"/>
      <c r="Y77" s="144"/>
      <c r="Z77" s="46"/>
      <c r="AA77" s="45">
        <f>SUM(P77,R77,T77,V77)</f>
        <v>0</v>
      </c>
      <c r="AB77" s="45">
        <f>SUM(Q77,S77,U77,W77)</f>
        <v>0</v>
      </c>
      <c r="AC77" s="45">
        <f>SUM(X77,Y77)</f>
        <v>0</v>
      </c>
      <c r="AD77"/>
    </row>
    <row r="78" spans="2:30" s="57" customFormat="1" x14ac:dyDescent="0.2">
      <c r="L78" s="61"/>
      <c r="M78"/>
      <c r="N78" s="35"/>
      <c r="O78" s="35"/>
      <c r="AD78"/>
    </row>
    <row r="79" spans="2:30" s="57" customFormat="1" ht="38.25" x14ac:dyDescent="0.2">
      <c r="D79" s="79" t="s">
        <v>37</v>
      </c>
      <c r="E79" s="79" t="s">
        <v>36</v>
      </c>
      <c r="F79" s="79" t="s">
        <v>45</v>
      </c>
      <c r="G79" s="79" t="s">
        <v>44</v>
      </c>
      <c r="H79" s="79" t="s">
        <v>43</v>
      </c>
      <c r="I79" s="79" t="s">
        <v>42</v>
      </c>
      <c r="J79" s="79" t="s">
        <v>35</v>
      </c>
      <c r="K79" s="79" t="s">
        <v>34</v>
      </c>
      <c r="L79" s="77" t="s">
        <v>33</v>
      </c>
      <c r="M79"/>
      <c r="N79" s="36" t="s">
        <v>28</v>
      </c>
      <c r="O79" s="35"/>
      <c r="P79" s="36" t="s">
        <v>25</v>
      </c>
      <c r="Q79" s="36" t="s">
        <v>24</v>
      </c>
      <c r="R79" s="36" t="s">
        <v>23</v>
      </c>
      <c r="S79" s="36" t="s">
        <v>22</v>
      </c>
      <c r="T79" s="36" t="s">
        <v>21</v>
      </c>
      <c r="U79" s="36" t="s">
        <v>20</v>
      </c>
      <c r="V79" s="36" t="s">
        <v>19</v>
      </c>
      <c r="W79" s="36" t="s">
        <v>18</v>
      </c>
      <c r="X79" s="36" t="s">
        <v>17</v>
      </c>
      <c r="Y79" s="36" t="s">
        <v>16</v>
      </c>
      <c r="AA79" s="36" t="s">
        <v>15</v>
      </c>
      <c r="AB79" s="36" t="s">
        <v>14</v>
      </c>
      <c r="AC79" s="36" t="s">
        <v>13</v>
      </c>
      <c r="AD79"/>
    </row>
    <row r="80" spans="2:30" s="57" customFormat="1" x14ac:dyDescent="0.2">
      <c r="C80" s="61"/>
      <c r="G80" s="59"/>
      <c r="H80" s="59"/>
      <c r="I80" s="96">
        <v>2</v>
      </c>
      <c r="L80" s="46"/>
      <c r="M80"/>
      <c r="N80" s="38"/>
      <c r="O80" s="46"/>
      <c r="P80" s="46"/>
      <c r="Q80" s="46"/>
      <c r="R80" s="46"/>
      <c r="S80" s="46"/>
      <c r="T80" s="46"/>
      <c r="U80" s="46"/>
      <c r="V80" s="46"/>
      <c r="W80" s="46"/>
      <c r="X80" s="46"/>
      <c r="Y80" s="46"/>
      <c r="Z80" s="46"/>
      <c r="AA80" s="46"/>
      <c r="AB80" s="46"/>
      <c r="AC80" s="46"/>
      <c r="AD80"/>
    </row>
    <row r="81" spans="2:30" s="57" customFormat="1" x14ac:dyDescent="0.2">
      <c r="B81" s="76" t="s">
        <v>41</v>
      </c>
      <c r="C81" s="91"/>
      <c r="D81" s="74">
        <v>16422</v>
      </c>
      <c r="E81" s="72">
        <f>25*D72/1.19</f>
        <v>4201.680672268908</v>
      </c>
      <c r="F81" s="73"/>
      <c r="G81" s="73">
        <v>1</v>
      </c>
      <c r="H81" s="73">
        <v>1</v>
      </c>
      <c r="I81" s="73">
        <v>1</v>
      </c>
      <c r="J81" s="72">
        <f>28/1.19</f>
        <v>23.529411764705884</v>
      </c>
      <c r="K81" s="72">
        <f>L81/D72</f>
        <v>126.30299316484032</v>
      </c>
      <c r="L81" s="72">
        <f>J81*D72/2+(1*I81*VLOOKUP($I$71,'[1]Conveni colectiu'!$B$6:$G$18,6,0)+2*G81*VLOOKUP($G$71,'[1]Conveni colectiu'!$B$6:$G$18,6,0)+2*H81*VLOOKUP($H$71,'[1]Conveni colectiu'!$B$6:$G$18,6,0))*D72+E81</f>
        <v>25260.598632968064</v>
      </c>
      <c r="M81"/>
      <c r="N81" s="144"/>
      <c r="O81" s="46"/>
      <c r="P81" s="94">
        <v>0</v>
      </c>
      <c r="Q81" s="72">
        <v>0</v>
      </c>
      <c r="R81" s="94">
        <f>G81*D82*2</f>
        <v>400</v>
      </c>
      <c r="S81" s="72">
        <f>G81*VLOOKUP($G$71,'[1]Conveni colectiu'!$B$6:$G$18,6,0)*2*D82</f>
        <v>7350.2623337142868</v>
      </c>
      <c r="T81" s="94">
        <f>H81*D82*2</f>
        <v>400</v>
      </c>
      <c r="U81" s="72">
        <f>H81*VLOOKUP($H$71,'[1]Conveni colectiu'!$B$6:$G$18,6,0)*2*D82</f>
        <v>7052.3574850285713</v>
      </c>
      <c r="V81" s="94">
        <f>I81*D82</f>
        <v>200</v>
      </c>
      <c r="W81" s="72">
        <f>I81*VLOOKUP($I$80,'[1]Conveni colectiu'!$B$6:$G$18,6,0)*V81</f>
        <v>4303.3569654857138</v>
      </c>
      <c r="X81" s="72">
        <f>E81</f>
        <v>4201.680672268908</v>
      </c>
      <c r="Y81" s="72">
        <f>J81*D82/2</f>
        <v>2352.9411764705883</v>
      </c>
      <c r="Z81" s="35"/>
      <c r="AA81" s="94">
        <f t="shared" ref="AA81:AB83" si="8">SUM(R81,T81,V81,P81)</f>
        <v>1000</v>
      </c>
      <c r="AB81" s="93">
        <f t="shared" si="8"/>
        <v>18705.976784228573</v>
      </c>
      <c r="AC81" s="93">
        <f>SUM(X81:Y81)</f>
        <v>6554.6218487394963</v>
      </c>
      <c r="AD81"/>
    </row>
    <row r="82" spans="2:30" s="57" customFormat="1" x14ac:dyDescent="0.2">
      <c r="B82" s="76" t="s">
        <v>40</v>
      </c>
      <c r="C82" s="91"/>
      <c r="D82" s="74">
        <v>200</v>
      </c>
      <c r="E82" s="72">
        <f>D82*25/1.19</f>
        <v>4201.680672268908</v>
      </c>
      <c r="F82" s="73" t="s">
        <v>30</v>
      </c>
      <c r="G82" s="73">
        <v>1</v>
      </c>
      <c r="H82" s="73">
        <v>1</v>
      </c>
      <c r="I82" s="73">
        <v>1</v>
      </c>
      <c r="J82" s="72">
        <f>28/1.19</f>
        <v>23.529411764705884</v>
      </c>
      <c r="K82" s="72">
        <f>L82/D82</f>
        <v>84.414090676806723</v>
      </c>
      <c r="L82" s="72">
        <f>J82*D82/4+(I82*VLOOKUP($I$71,'[1]Conveni colectiu'!$B$6:$G$18,6,0)+G82*VLOOKUP($G$71,'[1]Conveni colectiu'!$B$6:$G$18,6,0)+H82*VLOOKUP($H$71,'[1]Conveni colectiu'!$B$6:$G$18,6,0))*D82+E82</f>
        <v>16882.818135361344</v>
      </c>
      <c r="N82" s="144"/>
      <c r="O82" s="46"/>
      <c r="P82" s="94">
        <v>0</v>
      </c>
      <c r="Q82" s="72">
        <v>0</v>
      </c>
      <c r="R82" s="94">
        <f>G82*D82</f>
        <v>200</v>
      </c>
      <c r="S82" s="72">
        <f>G82*VLOOKUP($G$71,'[1]Conveni colectiu'!$B$6:$G$18,6,0)*D82</f>
        <v>3675.1311668571434</v>
      </c>
      <c r="T82" s="94">
        <f>H82*D82</f>
        <v>200</v>
      </c>
      <c r="U82" s="72">
        <f>H82*VLOOKUP($H$71,'[1]Conveni colectiu'!$B$6:$G$18,6,0)*D82</f>
        <v>3526.1787425142857</v>
      </c>
      <c r="V82" s="94">
        <f>I82*D82</f>
        <v>200</v>
      </c>
      <c r="W82" s="72">
        <f>I82*VLOOKUP($I$80,'[1]Conveni colectiu'!$B$6:$G$18,6,0)*V82</f>
        <v>4303.3569654857138</v>
      </c>
      <c r="X82" s="72">
        <f>E82</f>
        <v>4201.680672268908</v>
      </c>
      <c r="Y82" s="72">
        <f>J82*D82/4</f>
        <v>1176.4705882352941</v>
      </c>
      <c r="Z82" s="35"/>
      <c r="AA82" s="94">
        <f t="shared" si="8"/>
        <v>600</v>
      </c>
      <c r="AB82" s="93">
        <f t="shared" si="8"/>
        <v>11504.666874857143</v>
      </c>
      <c r="AC82" s="93">
        <f>SUM(X82:Y82)</f>
        <v>5378.1512605042026</v>
      </c>
    </row>
    <row r="83" spans="2:30" s="57" customFormat="1" x14ac:dyDescent="0.2">
      <c r="B83" s="76" t="s">
        <v>39</v>
      </c>
      <c r="C83" s="91"/>
      <c r="D83" s="74">
        <v>200</v>
      </c>
      <c r="E83" s="37">
        <v>200</v>
      </c>
      <c r="F83" s="73">
        <v>1</v>
      </c>
      <c r="G83" s="73" t="s">
        <v>30</v>
      </c>
      <c r="H83" s="73" t="s">
        <v>30</v>
      </c>
      <c r="I83" s="73" t="s">
        <v>30</v>
      </c>
      <c r="J83" s="37">
        <f>28/1.19</f>
        <v>23.529411764705884</v>
      </c>
      <c r="K83" s="95">
        <f>L83/50</f>
        <v>258.97844666584029</v>
      </c>
      <c r="L83" s="37">
        <f>(E83*D83+(F83*VLOOKUP($F$71,'[1]Conveni colectiu'!$B$6:$G$18,6,0))*D83*5/8)*0.25+J83/4*D83*2</f>
        <v>12948.922333292016</v>
      </c>
      <c r="N83" s="144"/>
      <c r="O83" s="46"/>
      <c r="P83" s="94">
        <f>((F83*D83*5/8)*0.25)</f>
        <v>31.25</v>
      </c>
      <c r="Q83" s="72">
        <f>((F83*VLOOKUP($F$71,'[1]Conveni colectiu'!$B$6:$G$18,6,0))*D83*5/8)*0.25</f>
        <v>595.98115682142861</v>
      </c>
      <c r="R83" s="94">
        <v>0</v>
      </c>
      <c r="S83" s="72">
        <v>0</v>
      </c>
      <c r="T83" s="94">
        <v>0</v>
      </c>
      <c r="U83" s="72">
        <v>0</v>
      </c>
      <c r="V83" s="94">
        <v>0</v>
      </c>
      <c r="W83" s="72">
        <v>0</v>
      </c>
      <c r="X83" s="72">
        <f>E83*D83*0.25</f>
        <v>10000</v>
      </c>
      <c r="Y83" s="72">
        <f>D83/4*J83*2</f>
        <v>2352.9411764705883</v>
      </c>
      <c r="Z83" s="35"/>
      <c r="AA83" s="94">
        <f t="shared" si="8"/>
        <v>31.25</v>
      </c>
      <c r="AB83" s="93">
        <f t="shared" si="8"/>
        <v>595.98115682142861</v>
      </c>
      <c r="AC83" s="93">
        <f>SUM(X83:Y83)</f>
        <v>12352.941176470587</v>
      </c>
    </row>
    <row r="84" spans="2:30" s="57" customFormat="1" x14ac:dyDescent="0.2">
      <c r="B84" s="92"/>
      <c r="C84" s="91"/>
      <c r="D84" s="75"/>
      <c r="E84" s="35"/>
      <c r="F84" s="90"/>
      <c r="G84" s="90"/>
      <c r="H84" s="90"/>
      <c r="I84" s="90"/>
      <c r="J84" s="35"/>
      <c r="K84" s="89"/>
      <c r="L84" s="35"/>
      <c r="N84" s="58"/>
      <c r="O84" s="46"/>
      <c r="P84" s="87"/>
      <c r="Q84" s="88"/>
      <c r="R84" s="87"/>
      <c r="S84" s="88"/>
      <c r="T84" s="87"/>
      <c r="U84" s="88"/>
      <c r="V84" s="87"/>
      <c r="W84" s="88"/>
      <c r="X84" s="88"/>
      <c r="Y84" s="88"/>
      <c r="Z84" s="35"/>
      <c r="AA84" s="87"/>
      <c r="AB84" s="86"/>
      <c r="AC84" s="86"/>
    </row>
    <row r="85" spans="2:30" s="57" customFormat="1" x14ac:dyDescent="0.2">
      <c r="C85" s="61"/>
      <c r="G85" s="59"/>
      <c r="H85" s="59"/>
      <c r="I85" s="59"/>
      <c r="M85"/>
      <c r="P85" s="55" t="s">
        <v>27</v>
      </c>
      <c r="Q85" s="54"/>
      <c r="R85" s="54"/>
      <c r="S85" s="54"/>
      <c r="T85" s="54"/>
      <c r="U85" s="54"/>
      <c r="V85" s="54"/>
      <c r="W85" s="54"/>
      <c r="X85" s="54"/>
      <c r="Y85" s="53"/>
      <c r="Z85" s="56"/>
      <c r="AA85" s="55"/>
      <c r="AB85" s="54"/>
      <c r="AC85" s="53"/>
      <c r="AD85"/>
    </row>
    <row r="86" spans="2:30" s="57" customFormat="1" ht="38.25" x14ac:dyDescent="0.2">
      <c r="C86" s="61"/>
      <c r="G86" s="59"/>
      <c r="H86" s="59"/>
      <c r="I86" s="59"/>
      <c r="M86"/>
      <c r="P86" s="52" t="s">
        <v>25</v>
      </c>
      <c r="Q86" s="52" t="s">
        <v>24</v>
      </c>
      <c r="R86" s="52" t="s">
        <v>23</v>
      </c>
      <c r="S86" s="52" t="s">
        <v>22</v>
      </c>
      <c r="T86" s="52" t="s">
        <v>21</v>
      </c>
      <c r="U86" s="52" t="s">
        <v>20</v>
      </c>
      <c r="V86" s="52" t="s">
        <v>19</v>
      </c>
      <c r="W86" s="52" t="s">
        <v>18</v>
      </c>
      <c r="X86" s="52" t="s">
        <v>17</v>
      </c>
      <c r="Y86" s="52" t="s">
        <v>16</v>
      </c>
      <c r="Z86" s="46"/>
      <c r="AA86" s="52" t="s">
        <v>15</v>
      </c>
      <c r="AB86" s="52" t="s">
        <v>14</v>
      </c>
      <c r="AC86" s="52" t="s">
        <v>13</v>
      </c>
      <c r="AD86"/>
    </row>
    <row r="87" spans="2:30" s="57" customFormat="1" x14ac:dyDescent="0.2">
      <c r="C87" s="61"/>
      <c r="G87" s="59"/>
      <c r="H87" s="59"/>
      <c r="I87" s="59"/>
      <c r="M87"/>
      <c r="P87" s="143"/>
      <c r="Q87" s="144"/>
      <c r="R87" s="143"/>
      <c r="S87" s="144"/>
      <c r="T87" s="143"/>
      <c r="U87" s="144"/>
      <c r="V87" s="143"/>
      <c r="W87" s="144"/>
      <c r="X87" s="144"/>
      <c r="Y87" s="144"/>
      <c r="Z87" s="46"/>
      <c r="AA87" s="45">
        <f>SUM(P87,R87,T87,V87)</f>
        <v>0</v>
      </c>
      <c r="AB87" s="45">
        <f>SUM(Q87,S87,U87,W87)</f>
        <v>0</v>
      </c>
      <c r="AC87" s="45">
        <f>SUM(X87,Y87)</f>
        <v>0</v>
      </c>
      <c r="AD87"/>
    </row>
    <row r="88" spans="2:30" s="57" customFormat="1" x14ac:dyDescent="0.2">
      <c r="B88" s="51" t="s">
        <v>38</v>
      </c>
      <c r="C88" s="85"/>
      <c r="D88" s="81"/>
      <c r="E88" s="81"/>
      <c r="F88" s="84"/>
      <c r="G88" s="83"/>
      <c r="H88" s="82"/>
      <c r="I88" s="82"/>
      <c r="J88" s="81"/>
      <c r="K88" s="81"/>
      <c r="L88" s="80"/>
      <c r="M88"/>
      <c r="AD88"/>
    </row>
    <row r="89" spans="2:30" s="57" customFormat="1" x14ac:dyDescent="0.2">
      <c r="B89" s="69"/>
      <c r="C89" s="61"/>
      <c r="G89" s="59"/>
      <c r="H89" s="59"/>
      <c r="I89" s="59"/>
      <c r="M89"/>
      <c r="AD89"/>
    </row>
    <row r="90" spans="2:30" s="57" customFormat="1" ht="38.25" x14ac:dyDescent="0.2">
      <c r="C90" s="61"/>
      <c r="D90" s="79" t="s">
        <v>37</v>
      </c>
      <c r="E90" s="79" t="s">
        <v>36</v>
      </c>
      <c r="F90" s="79">
        <v>4</v>
      </c>
      <c r="G90" s="79">
        <v>5</v>
      </c>
      <c r="H90" s="79">
        <v>7</v>
      </c>
      <c r="I90" s="79">
        <v>2</v>
      </c>
      <c r="J90" s="79" t="s">
        <v>35</v>
      </c>
      <c r="K90" s="79" t="s">
        <v>34</v>
      </c>
      <c r="L90" s="77" t="s">
        <v>33</v>
      </c>
      <c r="M90"/>
      <c r="N90"/>
      <c r="O90" s="38"/>
      <c r="P90" s="36" t="s">
        <v>25</v>
      </c>
      <c r="Q90" s="36" t="s">
        <v>24</v>
      </c>
      <c r="R90" s="36" t="s">
        <v>23</v>
      </c>
      <c r="S90" s="36" t="s">
        <v>22</v>
      </c>
      <c r="T90" s="36" t="s">
        <v>21</v>
      </c>
      <c r="U90" s="36" t="s">
        <v>20</v>
      </c>
      <c r="V90" s="36" t="s">
        <v>19</v>
      </c>
      <c r="W90" s="36" t="s">
        <v>18</v>
      </c>
      <c r="X90" s="36" t="s">
        <v>17</v>
      </c>
      <c r="Y90" s="36" t="s">
        <v>16</v>
      </c>
      <c r="Z90" s="38"/>
      <c r="AA90" s="36" t="s">
        <v>15</v>
      </c>
      <c r="AB90" s="36" t="s">
        <v>14</v>
      </c>
      <c r="AC90" s="36" t="s">
        <v>13</v>
      </c>
      <c r="AD90"/>
    </row>
    <row r="91" spans="2:30" s="57" customFormat="1" x14ac:dyDescent="0.2">
      <c r="C91" s="61"/>
      <c r="D91" s="79"/>
      <c r="E91" s="79"/>
      <c r="F91" s="79"/>
      <c r="G91" s="79"/>
      <c r="H91" s="79"/>
      <c r="I91" s="79"/>
      <c r="J91" s="79"/>
      <c r="K91" s="78"/>
      <c r="L91" s="77"/>
      <c r="M91"/>
      <c r="N91"/>
      <c r="O91" s="38"/>
      <c r="P91" s="77"/>
      <c r="Q91" s="77"/>
      <c r="R91" s="77"/>
      <c r="S91" s="77"/>
      <c r="T91" s="77"/>
      <c r="U91" s="77"/>
      <c r="V91" s="77"/>
      <c r="W91" s="77"/>
      <c r="X91" s="77"/>
      <c r="Y91" s="77"/>
      <c r="Z91" s="38"/>
      <c r="AA91" s="77"/>
      <c r="AB91" s="77"/>
      <c r="AC91" s="77"/>
      <c r="AD91"/>
    </row>
    <row r="92" spans="2:30" s="57" customFormat="1" x14ac:dyDescent="0.2">
      <c r="B92" s="76" t="s">
        <v>32</v>
      </c>
      <c r="C92" s="75"/>
      <c r="D92" s="74">
        <v>200</v>
      </c>
      <c r="E92" s="72" t="s">
        <v>30</v>
      </c>
      <c r="F92" s="73" t="s">
        <v>30</v>
      </c>
      <c r="G92" s="73" t="s">
        <v>30</v>
      </c>
      <c r="H92" s="73" t="s">
        <v>30</v>
      </c>
      <c r="I92" s="73">
        <v>1</v>
      </c>
      <c r="J92" s="74" t="s">
        <v>30</v>
      </c>
      <c r="K92" s="72">
        <f>L92/D92/12</f>
        <v>2.1516784827428568</v>
      </c>
      <c r="L92" s="72">
        <f>I92*VLOOKUP($I$90,'[1]Conveni colectiu'!$B$6:$G$18,6,0)*4*5*12</f>
        <v>5164.0283585828565</v>
      </c>
      <c r="M92"/>
      <c r="N92"/>
      <c r="O92" s="35"/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f>4*5*12</f>
        <v>240</v>
      </c>
      <c r="W92" s="37">
        <f>I92*VLOOKUP($I$90,'[1]Conveni colectiu'!$B$6:$G$18,6,0)*V92</f>
        <v>5164.0283585828565</v>
      </c>
      <c r="X92" s="37">
        <v>0</v>
      </c>
      <c r="Y92" s="37">
        <v>0</v>
      </c>
      <c r="Z92" s="35"/>
      <c r="AA92" s="37">
        <f>SUM(R92,T92,V92,P92)</f>
        <v>240</v>
      </c>
      <c r="AB92" s="37">
        <f>SUM(S92,U92,W92,Q92)</f>
        <v>5164.0283585828565</v>
      </c>
      <c r="AC92" s="37">
        <f>SUM(X92:Y92)</f>
        <v>0</v>
      </c>
      <c r="AD92"/>
    </row>
    <row r="93" spans="2:30" s="57" customFormat="1" x14ac:dyDescent="0.2">
      <c r="B93" s="76" t="s">
        <v>31</v>
      </c>
      <c r="C93" s="75"/>
      <c r="D93" s="74">
        <v>120</v>
      </c>
      <c r="E93" s="72">
        <f>25*D93/1.19</f>
        <v>2521.0084033613448</v>
      </c>
      <c r="F93" s="73" t="s">
        <v>30</v>
      </c>
      <c r="G93" s="73">
        <v>1</v>
      </c>
      <c r="H93" s="73">
        <v>1</v>
      </c>
      <c r="I93" s="73" t="s">
        <v>30</v>
      </c>
      <c r="J93" s="72">
        <f>28/1.19</f>
        <v>23.529411764705884</v>
      </c>
      <c r="K93" s="72">
        <f>L93/D93</f>
        <v>37.763964356557985</v>
      </c>
      <c r="L93" s="72">
        <f>(H93*VLOOKUP($H$90,'[1]Conveni colectiu'!$B$6:$G$18,6,0)*4+G93*VLOOKUP($G$90,'[1]Conveni colectiu'!$B$6:$G$18,6,0)*4+J93)*12+E93</f>
        <v>4531.6757227869584</v>
      </c>
      <c r="M93"/>
      <c r="N93"/>
      <c r="O93" s="35"/>
      <c r="P93" s="37">
        <v>0</v>
      </c>
      <c r="Q93" s="37">
        <v>0</v>
      </c>
      <c r="R93" s="37">
        <f>(G93*4)*12</f>
        <v>48</v>
      </c>
      <c r="S93" s="37">
        <f>(G93*VLOOKUP($G$90,'[1]Conveni colectiu'!$B$6:$G$18,6,0)*4)*12</f>
        <v>882.03148004571437</v>
      </c>
      <c r="T93" s="37">
        <f>(G93*4)*12</f>
        <v>48</v>
      </c>
      <c r="U93" s="37">
        <f>(H93*VLOOKUP($H$90,'[1]Conveni colectiu'!$B$6:$G$18,6,0)*4)*12</f>
        <v>846.28289820342854</v>
      </c>
      <c r="V93" s="37">
        <v>0</v>
      </c>
      <c r="W93" s="37">
        <v>0</v>
      </c>
      <c r="X93" s="37">
        <f>E93</f>
        <v>2521.0084033613448</v>
      </c>
      <c r="Y93" s="37">
        <f>J93*12</f>
        <v>282.35294117647061</v>
      </c>
      <c r="Z93" s="35"/>
      <c r="AA93" s="37">
        <f>SUM(R93,T93,V93,P93)</f>
        <v>96</v>
      </c>
      <c r="AB93" s="37">
        <f>SUM(S93,U93,W93,Q93)</f>
        <v>1728.3143782491429</v>
      </c>
      <c r="AC93" s="37">
        <f>SUM(X93:Y93)</f>
        <v>2803.3613445378155</v>
      </c>
      <c r="AD93"/>
    </row>
    <row r="94" spans="2:30" s="57" customFormat="1" x14ac:dyDescent="0.2">
      <c r="C94" s="61"/>
      <c r="G94" s="59"/>
      <c r="H94" s="59"/>
      <c r="I94" s="59"/>
      <c r="J94" s="71"/>
      <c r="M94"/>
      <c r="AD94"/>
    </row>
    <row r="95" spans="2:30" s="57" customFormat="1" x14ac:dyDescent="0.2">
      <c r="C95" s="61"/>
      <c r="G95" s="59"/>
      <c r="H95" s="59"/>
      <c r="I95" s="59"/>
      <c r="L95"/>
      <c r="M95"/>
      <c r="N95" s="141" t="s">
        <v>28</v>
      </c>
      <c r="O95" s="46"/>
      <c r="P95" s="55" t="s">
        <v>27</v>
      </c>
      <c r="Q95" s="54"/>
      <c r="R95" s="54"/>
      <c r="S95" s="54"/>
      <c r="T95" s="54"/>
      <c r="U95" s="54"/>
      <c r="V95" s="54"/>
      <c r="W95" s="54"/>
      <c r="X95" s="54"/>
      <c r="Y95" s="53"/>
      <c r="Z95" s="56"/>
      <c r="AA95" s="55"/>
      <c r="AB95" s="54"/>
      <c r="AC95" s="53"/>
      <c r="AD95"/>
    </row>
    <row r="96" spans="2:30" s="57" customFormat="1" ht="38.25" x14ac:dyDescent="0.2">
      <c r="C96" s="61"/>
      <c r="G96" s="59"/>
      <c r="H96" s="59"/>
      <c r="I96" s="59"/>
      <c r="L96" s="46"/>
      <c r="M96"/>
      <c r="N96" s="142"/>
      <c r="O96" s="46"/>
      <c r="P96" s="52" t="s">
        <v>25</v>
      </c>
      <c r="Q96" s="52" t="s">
        <v>24</v>
      </c>
      <c r="R96" s="52" t="s">
        <v>23</v>
      </c>
      <c r="S96" s="52" t="s">
        <v>22</v>
      </c>
      <c r="T96" s="52" t="s">
        <v>21</v>
      </c>
      <c r="U96" s="52" t="s">
        <v>20</v>
      </c>
      <c r="V96" s="52" t="s">
        <v>19</v>
      </c>
      <c r="W96" s="52" t="s">
        <v>18</v>
      </c>
      <c r="X96" s="52" t="s">
        <v>17</v>
      </c>
      <c r="Y96" s="52" t="s">
        <v>16</v>
      </c>
      <c r="Z96" s="46"/>
      <c r="AA96" s="52" t="s">
        <v>15</v>
      </c>
      <c r="AB96" s="52" t="s">
        <v>14</v>
      </c>
      <c r="AC96" s="52" t="s">
        <v>13</v>
      </c>
      <c r="AD96"/>
    </row>
    <row r="97" spans="2:30" s="57" customFormat="1" x14ac:dyDescent="0.2">
      <c r="B97" s="70" t="s">
        <v>29</v>
      </c>
      <c r="C97" s="69"/>
      <c r="D97" s="68"/>
      <c r="E97" s="68"/>
      <c r="F97" s="67"/>
      <c r="G97" s="66"/>
      <c r="H97" s="66"/>
      <c r="I97" s="66"/>
      <c r="J97" s="65"/>
      <c r="K97" s="64"/>
      <c r="L97" s="63">
        <f>SUM(L92:L93)/200/12</f>
        <v>4.0398767005707557</v>
      </c>
      <c r="M97"/>
      <c r="N97" s="144"/>
      <c r="O97" s="46"/>
      <c r="P97" s="143"/>
      <c r="Q97" s="144"/>
      <c r="R97" s="143"/>
      <c r="S97" s="144"/>
      <c r="T97" s="143"/>
      <c r="U97" s="144"/>
      <c r="V97" s="143"/>
      <c r="W97" s="144"/>
      <c r="X97" s="144"/>
      <c r="Y97" s="144"/>
      <c r="Z97" s="46"/>
      <c r="AA97" s="45">
        <f>SUM(P97,R97,T97,V97)</f>
        <v>0</v>
      </c>
      <c r="AB97" s="45">
        <f>SUM(Q97,S97,U97,W97)</f>
        <v>0</v>
      </c>
      <c r="AC97" s="45">
        <f>SUM(X97,Y97)</f>
        <v>0</v>
      </c>
      <c r="AD97"/>
    </row>
    <row r="98" spans="2:30" s="57" customFormat="1" x14ac:dyDescent="0.2">
      <c r="B98" s="62"/>
      <c r="C98" s="61"/>
      <c r="D98" s="60"/>
      <c r="G98" s="59"/>
      <c r="H98" s="59"/>
      <c r="I98" s="59"/>
      <c r="L98" s="58"/>
      <c r="M98"/>
      <c r="N98" s="58"/>
      <c r="O98" s="46"/>
      <c r="P98" s="46"/>
      <c r="Q98" s="46"/>
      <c r="R98" s="46"/>
      <c r="S98" s="46"/>
      <c r="T98" s="46"/>
      <c r="U98" s="46"/>
      <c r="V98" s="46"/>
      <c r="W98" s="46"/>
      <c r="X98" s="46"/>
      <c r="Y98" s="46"/>
      <c r="Z98" s="46"/>
      <c r="AA98" s="46"/>
      <c r="AB98" s="46"/>
      <c r="AC98" s="46"/>
    </row>
    <row r="99" spans="2:30" ht="12.75" customHeight="1" x14ac:dyDescent="0.2">
      <c r="N99" s="141" t="s">
        <v>28</v>
      </c>
      <c r="O99" s="46"/>
      <c r="P99" s="55" t="s">
        <v>27</v>
      </c>
      <c r="Q99" s="54"/>
      <c r="R99" s="54"/>
      <c r="S99" s="54"/>
      <c r="T99" s="54"/>
      <c r="U99" s="54"/>
      <c r="V99" s="54"/>
      <c r="W99" s="54"/>
      <c r="X99" s="54"/>
      <c r="Y99" s="53"/>
      <c r="Z99" s="56"/>
      <c r="AA99" s="55"/>
      <c r="AB99" s="54"/>
      <c r="AC99" s="53"/>
    </row>
    <row r="100" spans="2:30" ht="38.25" x14ac:dyDescent="0.2">
      <c r="N100" s="142"/>
      <c r="O100" s="46"/>
      <c r="P100" s="52" t="s">
        <v>25</v>
      </c>
      <c r="Q100" s="52" t="s">
        <v>24</v>
      </c>
      <c r="R100" s="52" t="s">
        <v>23</v>
      </c>
      <c r="S100" s="52" t="s">
        <v>22</v>
      </c>
      <c r="T100" s="52" t="s">
        <v>21</v>
      </c>
      <c r="U100" s="52" t="s">
        <v>20</v>
      </c>
      <c r="V100" s="52" t="s">
        <v>19</v>
      </c>
      <c r="W100" s="52" t="s">
        <v>18</v>
      </c>
      <c r="X100" s="52" t="s">
        <v>17</v>
      </c>
      <c r="Y100" s="52" t="s">
        <v>16</v>
      </c>
      <c r="Z100" s="46"/>
      <c r="AA100" s="52" t="s">
        <v>15</v>
      </c>
      <c r="AB100" s="52" t="s">
        <v>14</v>
      </c>
      <c r="AC100" s="52" t="s">
        <v>13</v>
      </c>
    </row>
    <row r="101" spans="2:30" x14ac:dyDescent="0.2">
      <c r="B101" s="51" t="s">
        <v>26</v>
      </c>
      <c r="C101" s="50"/>
      <c r="D101" s="47"/>
      <c r="E101" s="47"/>
      <c r="F101" s="49"/>
      <c r="G101" s="47"/>
      <c r="H101" s="48"/>
      <c r="I101" s="47"/>
      <c r="J101" s="47"/>
      <c r="K101" s="40"/>
      <c r="L101" s="31">
        <f>SUM(L92:L93,L72:L73,L81:L83,L63,L58,L32,L18)*0.1</f>
        <v>45162.123787910707</v>
      </c>
      <c r="N101" s="144"/>
      <c r="O101" s="46"/>
      <c r="P101" s="143"/>
      <c r="Q101" s="144"/>
      <c r="R101" s="143"/>
      <c r="S101" s="144"/>
      <c r="T101" s="143"/>
      <c r="U101" s="144"/>
      <c r="V101" s="143"/>
      <c r="W101" s="144"/>
      <c r="X101" s="144"/>
      <c r="Y101" s="144"/>
      <c r="Z101" s="46"/>
      <c r="AA101" s="45">
        <f>SUM(P101,R101,T101,V101)</f>
        <v>0</v>
      </c>
      <c r="AB101" s="45">
        <f>SUM(Q101,S101,U101,W101)</f>
        <v>0</v>
      </c>
      <c r="AC101" s="45">
        <f>SUM(X101,Y101)</f>
        <v>0</v>
      </c>
    </row>
    <row r="102" spans="2:30" x14ac:dyDescent="0.2">
      <c r="B102" s="44"/>
      <c r="C102" s="43"/>
      <c r="D102" s="40"/>
      <c r="E102" s="40"/>
      <c r="F102" s="42"/>
      <c r="G102" s="40"/>
      <c r="H102" s="41"/>
      <c r="I102" s="40"/>
      <c r="J102" s="40"/>
      <c r="K102" s="40"/>
      <c r="L102" s="39"/>
      <c r="N102" s="39"/>
      <c r="O102" s="39"/>
      <c r="P102" s="35"/>
      <c r="Q102" s="35"/>
      <c r="R102" s="35"/>
      <c r="S102" s="35"/>
      <c r="T102" s="35"/>
      <c r="U102" s="35"/>
      <c r="V102" s="35"/>
      <c r="W102" s="35"/>
      <c r="X102" s="35"/>
      <c r="Y102" s="35"/>
      <c r="Z102" s="35"/>
      <c r="AA102" s="35"/>
      <c r="AB102" s="35"/>
      <c r="AC102" s="35"/>
    </row>
    <row r="103" spans="2:30" x14ac:dyDescent="0.2">
      <c r="B103" s="44"/>
      <c r="C103" s="43"/>
      <c r="D103" s="40"/>
      <c r="E103" s="40"/>
      <c r="F103" s="42"/>
      <c r="G103" s="40"/>
      <c r="H103" s="41"/>
      <c r="I103" s="40"/>
      <c r="J103" s="40"/>
      <c r="K103" s="40"/>
      <c r="L103" s="39"/>
      <c r="N103" s="39"/>
      <c r="O103" s="39"/>
      <c r="P103" s="35"/>
      <c r="Q103" s="35"/>
      <c r="R103" s="35"/>
      <c r="S103" s="35"/>
      <c r="T103" s="35"/>
      <c r="U103" s="35"/>
      <c r="V103" s="35"/>
      <c r="W103" s="35"/>
      <c r="X103" s="35"/>
      <c r="Y103" s="35"/>
      <c r="Z103" s="35"/>
      <c r="AA103" s="35"/>
      <c r="AB103" s="35"/>
      <c r="AC103" s="35"/>
    </row>
    <row r="105" spans="2:30" ht="38.25" x14ac:dyDescent="0.2">
      <c r="C105"/>
      <c r="G105"/>
      <c r="H105"/>
      <c r="I105"/>
      <c r="P105" s="36" t="s">
        <v>25</v>
      </c>
      <c r="Q105" s="36" t="s">
        <v>24</v>
      </c>
      <c r="R105" s="36" t="s">
        <v>23</v>
      </c>
      <c r="S105" s="36" t="s">
        <v>22</v>
      </c>
      <c r="T105" s="36" t="s">
        <v>21</v>
      </c>
      <c r="U105" s="36" t="s">
        <v>20</v>
      </c>
      <c r="V105" s="36" t="s">
        <v>19</v>
      </c>
      <c r="W105" s="36" t="s">
        <v>18</v>
      </c>
      <c r="X105" s="36" t="s">
        <v>17</v>
      </c>
      <c r="Y105" s="36" t="s">
        <v>16</v>
      </c>
      <c r="Z105" s="38"/>
      <c r="AA105" s="36" t="s">
        <v>15</v>
      </c>
      <c r="AB105" s="36" t="s">
        <v>14</v>
      </c>
      <c r="AC105" s="36" t="s">
        <v>13</v>
      </c>
    </row>
    <row r="106" spans="2:30" x14ac:dyDescent="0.2">
      <c r="B106" s="32" t="s">
        <v>12</v>
      </c>
      <c r="C106" s="33"/>
      <c r="D106" s="32"/>
      <c r="E106" s="32"/>
      <c r="F106" s="32"/>
      <c r="G106" s="32"/>
      <c r="H106" s="32"/>
      <c r="I106" s="32"/>
      <c r="J106" s="32"/>
      <c r="K106" s="32"/>
      <c r="L106" s="31">
        <f>SUM(L101,L92:L93,L72:L73,L81:L83,L63,L58,L32,L18)</f>
        <v>496783.36166701774</v>
      </c>
      <c r="N106" s="30"/>
      <c r="P106" s="37">
        <f t="shared" ref="P106:AB106" si="9">SUM(P6:P101)</f>
        <v>831.25</v>
      </c>
      <c r="Q106" s="37">
        <f t="shared" si="9"/>
        <v>15853.098771450001</v>
      </c>
      <c r="R106" s="37">
        <f t="shared" si="9"/>
        <v>5504</v>
      </c>
      <c r="S106" s="37">
        <f t="shared" si="9"/>
        <v>101139.60971190858</v>
      </c>
      <c r="T106" s="37">
        <f t="shared" si="9"/>
        <v>2953.505909090909</v>
      </c>
      <c r="U106" s="37">
        <f t="shared" si="9"/>
        <v>52574.548762633465</v>
      </c>
      <c r="V106" s="37">
        <f t="shared" si="9"/>
        <v>1726</v>
      </c>
      <c r="W106" s="37">
        <f t="shared" si="9"/>
        <v>37137.970612141711</v>
      </c>
      <c r="X106" s="37">
        <f t="shared" si="9"/>
        <v>198488.47499423532</v>
      </c>
      <c r="Y106" s="37">
        <f t="shared" si="9"/>
        <v>46427.535026737954</v>
      </c>
      <c r="Z106" s="35">
        <f t="shared" si="9"/>
        <v>0</v>
      </c>
      <c r="AA106" s="37">
        <f t="shared" si="9"/>
        <v>11014.755909090909</v>
      </c>
      <c r="AB106" s="37">
        <f t="shared" si="9"/>
        <v>206705.22785813376</v>
      </c>
      <c r="AC106" s="37">
        <f>SUM(AC6:AC101)+L101</f>
        <v>290078.13380888407</v>
      </c>
    </row>
    <row r="107" spans="2:30" ht="25.5" x14ac:dyDescent="0.2">
      <c r="B107" s="32"/>
      <c r="C107" s="33"/>
      <c r="D107" s="32"/>
      <c r="E107" s="32"/>
      <c r="F107" s="32"/>
      <c r="G107" s="32"/>
      <c r="H107" s="32"/>
      <c r="I107" s="32"/>
      <c r="J107" s="32"/>
      <c r="K107" s="32"/>
      <c r="L107" s="31"/>
      <c r="N107" s="36" t="s">
        <v>11</v>
      </c>
      <c r="P107" s="35"/>
      <c r="Q107" s="35"/>
      <c r="R107" s="35"/>
      <c r="S107" s="35"/>
      <c r="T107" s="35"/>
      <c r="U107" s="35"/>
      <c r="V107" s="35"/>
      <c r="W107" s="35"/>
      <c r="X107" s="35"/>
      <c r="Y107" s="35"/>
      <c r="Z107" s="35"/>
      <c r="AA107" s="35"/>
      <c r="AB107" s="35"/>
      <c r="AC107" s="35"/>
    </row>
    <row r="108" spans="2:30" x14ac:dyDescent="0.2">
      <c r="B108" s="34" t="s">
        <v>10</v>
      </c>
      <c r="C108" s="33"/>
      <c r="D108" s="32"/>
      <c r="E108" s="32"/>
      <c r="F108" s="32"/>
      <c r="G108" s="32"/>
      <c r="H108" s="32"/>
      <c r="I108" s="32"/>
      <c r="J108" s="32"/>
      <c r="K108" s="32"/>
      <c r="L108" s="31">
        <f>0.13*L106</f>
        <v>64581.837016712307</v>
      </c>
      <c r="N108" s="144"/>
    </row>
    <row r="109" spans="2:30" x14ac:dyDescent="0.2">
      <c r="B109" s="34" t="s">
        <v>9</v>
      </c>
      <c r="C109" s="33"/>
      <c r="D109" s="32"/>
      <c r="E109" s="32"/>
      <c r="F109" s="32"/>
      <c r="G109" s="32"/>
      <c r="H109" s="32"/>
      <c r="I109" s="32"/>
      <c r="J109" s="32"/>
      <c r="K109" s="32"/>
      <c r="L109" s="31">
        <f>0.06*L106</f>
        <v>29807.001700021065</v>
      </c>
      <c r="N109" s="144"/>
    </row>
    <row r="110" spans="2:30" x14ac:dyDescent="0.2">
      <c r="B110" s="34"/>
      <c r="C110" s="33"/>
      <c r="D110" s="32"/>
      <c r="E110" s="32"/>
      <c r="F110" s="32"/>
      <c r="G110" s="32"/>
      <c r="H110" s="32"/>
      <c r="I110" s="32"/>
      <c r="J110" s="32"/>
      <c r="K110" s="32"/>
      <c r="L110" s="31"/>
    </row>
    <row r="111" spans="2:30" x14ac:dyDescent="0.2">
      <c r="B111" s="32" t="s">
        <v>8</v>
      </c>
      <c r="C111" s="33"/>
      <c r="D111" s="32"/>
      <c r="E111" s="32"/>
      <c r="F111" s="32"/>
      <c r="G111" s="32"/>
      <c r="H111" s="32"/>
      <c r="I111" s="32"/>
      <c r="J111" s="32"/>
      <c r="K111" s="32"/>
      <c r="L111" s="31">
        <f>SUM(L106:L109)</f>
        <v>591172.20038375119</v>
      </c>
      <c r="N111" s="30"/>
    </row>
    <row r="112" spans="2:30" x14ac:dyDescent="0.2">
      <c r="B112" s="32"/>
      <c r="C112" s="33"/>
      <c r="D112" s="32"/>
      <c r="E112" s="32"/>
      <c r="F112" s="32"/>
      <c r="G112" s="32"/>
      <c r="H112" s="32"/>
      <c r="I112" s="32"/>
      <c r="J112" s="32"/>
      <c r="K112" s="32"/>
      <c r="L112" s="31"/>
      <c r="N112" s="30"/>
    </row>
    <row r="113" spans="2:29" x14ac:dyDescent="0.2">
      <c r="B113" s="34" t="s">
        <v>7</v>
      </c>
      <c r="C113" s="33"/>
      <c r="D113" s="32"/>
      <c r="E113" s="32"/>
      <c r="F113" s="32"/>
      <c r="G113" s="32"/>
      <c r="H113" s="32"/>
      <c r="I113" s="32"/>
      <c r="J113" s="32"/>
      <c r="K113" s="32"/>
      <c r="L113" s="31">
        <f>L111*1.21</f>
        <v>715318.36246433889</v>
      </c>
      <c r="N113" s="30"/>
    </row>
    <row r="114" spans="2:29" x14ac:dyDescent="0.2">
      <c r="B114" s="28"/>
      <c r="AB114" s="29"/>
      <c r="AC114" s="29"/>
    </row>
    <row r="115" spans="2:29" x14ac:dyDescent="0.2">
      <c r="B115" s="28"/>
      <c r="J115" s="27"/>
      <c r="K115" s="26"/>
    </row>
    <row r="117" spans="2:29" x14ac:dyDescent="0.2">
      <c r="G117"/>
      <c r="H117"/>
    </row>
    <row r="118" spans="2:29" x14ac:dyDescent="0.2">
      <c r="B118" s="25" t="s">
        <v>6</v>
      </c>
      <c r="C118" s="23"/>
      <c r="D118" s="24"/>
      <c r="E118" s="23"/>
      <c r="F118" s="21"/>
      <c r="G118" s="22"/>
      <c r="H118" s="21"/>
      <c r="I118" s="22"/>
      <c r="J118" s="21"/>
      <c r="K118" s="21"/>
      <c r="L118" s="20">
        <f>ROUND(L111*2,2)</f>
        <v>1182344.3999999999</v>
      </c>
    </row>
    <row r="119" spans="2:29" x14ac:dyDescent="0.2">
      <c r="B119" s="19" t="s">
        <v>5</v>
      </c>
      <c r="C119" s="17"/>
      <c r="D119" s="18"/>
      <c r="E119" s="17"/>
      <c r="F119" s="15"/>
      <c r="G119" s="16"/>
      <c r="H119" s="15"/>
      <c r="I119" s="16"/>
      <c r="J119" s="15"/>
      <c r="K119" s="14"/>
      <c r="L119" s="13">
        <f>L120-L118</f>
        <v>248292.32000000007</v>
      </c>
    </row>
    <row r="120" spans="2:29" x14ac:dyDescent="0.2">
      <c r="B120" s="10" t="s">
        <v>4</v>
      </c>
      <c r="C120" s="11"/>
      <c r="D120" s="12"/>
      <c r="E120" s="11"/>
      <c r="F120" s="11"/>
      <c r="G120" s="9"/>
      <c r="H120" s="8"/>
      <c r="I120" s="9"/>
      <c r="J120" s="8"/>
      <c r="K120" s="8"/>
      <c r="L120" s="7">
        <f>ROUND(L118*1.21,2)</f>
        <v>1430636.72</v>
      </c>
    </row>
    <row r="121" spans="2:29" x14ac:dyDescent="0.2">
      <c r="B121" s="10" t="s">
        <v>3</v>
      </c>
      <c r="C121" s="11"/>
      <c r="D121" s="12"/>
      <c r="E121" s="11"/>
      <c r="F121" s="11"/>
      <c r="G121" s="9"/>
      <c r="H121" s="8"/>
      <c r="I121" s="9"/>
      <c r="J121" s="8"/>
      <c r="K121" s="8"/>
      <c r="L121" s="7">
        <f>L111*0.2</f>
        <v>118234.44007675024</v>
      </c>
    </row>
    <row r="122" spans="2:29" x14ac:dyDescent="0.2">
      <c r="B122" s="10" t="s">
        <v>2</v>
      </c>
      <c r="C122" s="8"/>
      <c r="D122" s="9"/>
      <c r="E122" s="8"/>
      <c r="F122" s="8"/>
      <c r="G122" s="9"/>
      <c r="H122" s="9"/>
      <c r="I122" s="9"/>
      <c r="J122" s="8"/>
      <c r="K122" s="8"/>
      <c r="L122" s="7">
        <f>L113*0.2</f>
        <v>143063.67249286777</v>
      </c>
    </row>
    <row r="123" spans="2:29" x14ac:dyDescent="0.2">
      <c r="B123" s="10" t="s">
        <v>1</v>
      </c>
      <c r="C123" s="8"/>
      <c r="D123" s="9"/>
      <c r="E123" s="8"/>
      <c r="F123" s="8"/>
      <c r="G123" s="9"/>
      <c r="H123" s="9"/>
      <c r="I123" s="9"/>
      <c r="J123" s="8"/>
      <c r="K123" s="8"/>
      <c r="L123" s="7">
        <f>ROUND(L118*2+L121*4,2)</f>
        <v>2837626.56</v>
      </c>
    </row>
    <row r="124" spans="2:29" x14ac:dyDescent="0.2">
      <c r="B124" s="6" t="s">
        <v>0</v>
      </c>
      <c r="C124" s="4"/>
      <c r="D124" s="5"/>
      <c r="E124" s="4"/>
      <c r="F124" s="4"/>
      <c r="G124" s="5"/>
      <c r="H124" s="5"/>
      <c r="I124" s="5"/>
      <c r="J124" s="4"/>
      <c r="K124" s="4"/>
      <c r="L124" s="3">
        <f>ROUND(L120*2+L122*4,2)</f>
        <v>3433528.13</v>
      </c>
    </row>
  </sheetData>
  <sheetProtection algorithmName="SHA-512" hashValue="3nBNu3TJrkHtneSGwJOIzEACVbwVjaytOO3rpw83ZkvQUjNbh/KYjXwrL7uDOVMaak3elM80Q458zfPLRPmUFw==" saltValue="ED6o4CrQncOEeb+dhHNqEQ==" spinCount="100000" sheet="1" objects="1" scenarios="1"/>
  <protectedRanges>
    <protectedRange sqref="N20 N27:N30 N39:N56 N63 N72:N73 N81:N83 N97 N101 N108:N109 P20:Y20 P34:Y34 P67:Y67 P77:Y77 P87:Y87 P97:Y97 P101:Y101" name="Rango1"/>
  </protectedRanges>
  <mergeCells count="3">
    <mergeCell ref="N18:N19"/>
    <mergeCell ref="N95:N96"/>
    <mergeCell ref="N99:N100"/>
  </mergeCells>
  <pageMargins left="0.25" right="0.25" top="0.75" bottom="0.75" header="0.3" footer="0.3"/>
  <pageSetup paperSize="8" scale="3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Annex_1_PLEC</vt:lpstr>
      <vt:lpstr>Annex_1_PLEC!_Toc392844579</vt:lpstr>
    </vt:vector>
  </TitlesOfParts>
  <Company>Ajuntament de Mataró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Servei de Sistemes d'Informació i Telecomunicacions</dc:creator>
  <cp:lastModifiedBy>msc</cp:lastModifiedBy>
  <dcterms:created xsi:type="dcterms:W3CDTF">2021-03-15T03:58:23Z</dcterms:created>
  <dcterms:modified xsi:type="dcterms:W3CDTF">2021-03-22T13:37:33Z</dcterms:modified>
</cp:coreProperties>
</file>