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worksheets/_rels/sheet3.xml.rels" ContentType="application/vnd.openxmlformats-package.relationships+xml"/>
  <Override PartName="/xl/worksheets/_rels/sheet4.xml.rels" ContentType="application/vnd.openxmlformats-package.relationships+xml"/>
  <Override PartName="/xl/externalLinks/_rels/externalLink1.xml.rels" ContentType="application/vnd.openxmlformats-package.relationships+xml"/>
  <Override PartName="/xl/externalLinks/_rels/externalLink2.xml.rels" ContentType="application/vnd.openxmlformats-package.relationship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EUS BASE MÒDULS" sheetId="1" state="visible" r:id="rId2"/>
    <sheet name="ANNEX ACTIVITAT MÒDUL" sheetId="2" state="visible" r:id="rId3"/>
    <sheet name="PREUS BASE TANQUES" sheetId="3" state="visible" r:id="rId4"/>
    <sheet name="ANNEX ACTIVITAT TANQUES" sheetId="4" state="visible" r:id="rId5"/>
  </sheets>
  <externalReferences>
    <externalReference r:id="rId6"/>
    <externalReference r:id="rId7"/>
  </externalReferences>
  <definedNames>
    <definedName function="false" hidden="false" localSheetId="1" name="_xlnm.Print_Area" vbProcedure="false">'ANNEX ACTIVITAT MÒDUL'!$A$1:$AP$42</definedName>
    <definedName function="false" hidden="false" localSheetId="0" name="_xlnm.Print_Area" vbProcedure="false">'PREUS BASE MÒDULS'!$A$1:$L$39</definedName>
    <definedName function="false" hidden="false" name="AFORAMENT" vbProcedure="false">[1]LOTS!$E$5:$E$8</definedName>
    <definedName function="false" hidden="false" name="LOT_1_VIDEO" vbProcedure="false">'[1]llistats desplegables'!#ref!</definedName>
    <definedName function="false" hidden="false" name="LOT_2_VIDEO" vbProcedure="false">'[1]llistats desplegables'!#ref!</definedName>
    <definedName function="false" hidden="false" name="LOT_3_VIDEO" vbProcedure="false">'[1]llistats desplegables'!#ref!</definedName>
    <definedName function="false" hidden="false" name="LOT_4_VIDEO" vbProcedure="false">'[1]llistats desplegables'!#ref!</definedName>
    <definedName function="false" hidden="false" name="LOT_5_VIDEO" vbProcedure="false">'[1]llistats desplegables'!#ref!</definedName>
    <definedName function="false" hidden="false" name="SERVEI" vbProcedure="false">[1]LOTS!$B$16:$B$26</definedName>
    <definedName function="false" hidden="false" name="TIPOLOGIA" vbProcedure="false">[1]LOTS!$D$7:$D$9</definedName>
    <definedName function="false" hidden="false" localSheetId="0" name="_xlnm.Print_Area_0" vbProcedure="false">'PREUS BASE MÒDULS'!$A$1:$P$39</definedName>
    <definedName function="false" hidden="false" localSheetId="0" name="_xlnm.Print_Area_0_0" vbProcedure="false">'PREUS BASE MÒDULS'!$A$1:$K$39</definedName>
    <definedName function="false" hidden="false" localSheetId="0" name="_xlnm.Print_Area_0_0_0" vbProcedure="false">'PREUS BASE MÒDULS'!$A$1:$H$39</definedName>
    <definedName function="false" hidden="false" localSheetId="1" name="_xlnm.Print_Area_0" vbProcedure="false">'ANNEX ACTIVITAT MÒDUL'!$A$1:$AO$42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<sst xmlns="http://schemas.openxmlformats.org/spreadsheetml/2006/main" count="436" uniqueCount="132">
  <si>
    <t xml:space="preserve">TIPOLOGIA SERVEI ESPORÀDIC</t>
  </si>
  <si>
    <t xml:space="preserve">IMPORT  UNITARI S/IVA</t>
  </si>
  <si>
    <t xml:space="preserve">TOTAL AMB IVA</t>
  </si>
  <si>
    <t xml:space="preserve">UNITATS</t>
  </si>
  <si>
    <t xml:space="preserve">TOTAL S/IVA IVA</t>
  </si>
  <si>
    <t xml:space="preserve">TOTAL IVA 21%</t>
  </si>
  <si>
    <t xml:space="preserve">CONTENIDOR BLINDAT MAGATZEM</t>
  </si>
  <si>
    <t xml:space="preserve">1,98 X 1,95</t>
  </si>
  <si>
    <t xml:space="preserve">2,50 X 3,00</t>
  </si>
  <si>
    <t xml:space="preserve">2,50 X 6,00</t>
  </si>
  <si>
    <t xml:space="preserve">MÒDUL VESTUARI AÏLLAT</t>
  </si>
  <si>
    <t xml:space="preserve">2,35 X 4,00</t>
  </si>
  <si>
    <t xml:space="preserve">2,35 X 6,00</t>
  </si>
  <si>
    <t xml:space="preserve">2,44 x 6,00</t>
  </si>
  <si>
    <t xml:space="preserve">MÒDUL BOTIGA AÏLLAT</t>
  </si>
  <si>
    <t xml:space="preserve">2,22 X 2,22</t>
  </si>
  <si>
    <t xml:space="preserve">2,35 X 4,10</t>
  </si>
  <si>
    <t xml:space="preserve">MÒDUL TAQUILLA AÏLLAT</t>
  </si>
  <si>
    <t xml:space="preserve">2,35 X 6,00 (6 finestres)</t>
  </si>
  <si>
    <t xml:space="preserve">TIPOLOGIA SERVEI PERMANENT</t>
  </si>
  <si>
    <t xml:space="preserve">IMPORT  MENSUAL S/IVA</t>
  </si>
  <si>
    <t xml:space="preserve">IVA</t>
  </si>
  <si>
    <t xml:space="preserve">MESOS</t>
  </si>
  <si>
    <t xml:space="preserve">2,44 X 6,00</t>
  </si>
  <si>
    <t xml:space="preserve">AIRE ACONDICIONAT PELS MÒDULS</t>
  </si>
  <si>
    <t xml:space="preserve">SI</t>
  </si>
  <si>
    <t xml:space="preserve">TRANSPORT</t>
  </si>
  <si>
    <t xml:space="preserve">ANADA I/O TORNADA</t>
  </si>
  <si>
    <t xml:space="preserve"> MÒDUL MECANITZAT </t>
  </si>
  <si>
    <t xml:space="preserve">TOTAL</t>
  </si>
  <si>
    <t xml:space="preserve">DADES DE L'ACTIVITAT</t>
  </si>
  <si>
    <t xml:space="preserve">CONTENIDOR BLINDAT</t>
  </si>
  <si>
    <t xml:space="preserve">MÒDUL VESTUARI</t>
  </si>
  <si>
    <t xml:space="preserve">MÒDUL BOTIGA</t>
  </si>
  <si>
    <t xml:space="preserve">MÒDUL TAQUILLA</t>
  </si>
  <si>
    <t xml:space="preserve">TOTAL S/ IVA</t>
  </si>
  <si>
    <t xml:space="preserve">%</t>
  </si>
  <si>
    <t xml:space="preserve">SERVEI</t>
  </si>
  <si>
    <t xml:space="preserve">ACTIVITAT</t>
  </si>
  <si>
    <t xml:space="preserve">MODEL</t>
  </si>
  <si>
    <t xml:space="preserve">€</t>
  </si>
  <si>
    <t xml:space="preserve">AIRE</t>
  </si>
  <si>
    <t xml:space="preserve">MECANITZAT</t>
  </si>
  <si>
    <t xml:space="preserve"> € AIRE</t>
  </si>
  <si>
    <t xml:space="preserve">MATERIAL</t>
  </si>
  <si>
    <t xml:space="preserve">Total IVA</t>
  </si>
  <si>
    <t xml:space="preserve">CULTURA</t>
  </si>
  <si>
    <t xml:space="preserve">REIS - CAMPAMENT REIAL</t>
  </si>
  <si>
    <t xml:space="preserve">NO</t>
  </si>
  <si>
    <t xml:space="preserve">CARNESTOLTES - PARC CENTRAL</t>
  </si>
  <si>
    <t xml:space="preserve">FESTES DE BARRI - FESTA BARRI LA LLÀNTIA</t>
  </si>
  <si>
    <t xml:space="preserve">FESTES DE BARRI - FESTA BARRI MOLINS - TORNER</t>
  </si>
  <si>
    <t xml:space="preserve">ROMERIA DEL ROCIO</t>
  </si>
  <si>
    <t xml:space="preserve">SANTES - ESPAI FAMILIAR</t>
  </si>
  <si>
    <t xml:space="preserve">SANTES  - PL .STA. ANNA | ESCENARI</t>
  </si>
  <si>
    <t xml:space="preserve">SANTES  - PL .STA. ANNA | BOTIGA</t>
  </si>
  <si>
    <t xml:space="preserve">SANTES  - PARC CENTRAL ESCENARI</t>
  </si>
  <si>
    <t xml:space="preserve">SANTES - PASSEIG MARÍTIM</t>
  </si>
  <si>
    <t xml:space="preserve">SANTES - ESCAPADA</t>
  </si>
  <si>
    <t xml:space="preserve">SANTES - HAVANERES</t>
  </si>
  <si>
    <t xml:space="preserve">SANTES - REQUISITS</t>
  </si>
  <si>
    <t xml:space="preserve">SANTES - LLAR CABANELLAS</t>
  </si>
  <si>
    <t xml:space="preserve">SANTES INDETERMINAT</t>
  </si>
  <si>
    <t xml:space="preserve">ESPORTS</t>
  </si>
  <si>
    <t xml:space="preserve">CURSA SANTES</t>
  </si>
  <si>
    <t xml:space="preserve">CROS CIUTAT MATARÓ</t>
  </si>
  <si>
    <t xml:space="preserve">CMP VISTA ALEGRE (12 MESOS)</t>
  </si>
  <si>
    <t xml:space="preserve">POLIESPORTIU EUSEBI MILLAN (8 MES0S)</t>
  </si>
  <si>
    <t xml:space="preserve">PISTA PETANCA (8 MESOS)</t>
  </si>
  <si>
    <t xml:space="preserve">IGUALTAT </t>
  </si>
  <si>
    <t xml:space="preserve">CAP D´ANY</t>
  </si>
  <si>
    <t xml:space="preserve">CARNESTOLTES - </t>
  </si>
  <si>
    <t xml:space="preserve">SANT JOAN</t>
  </si>
  <si>
    <t xml:space="preserve">CASTANYADA</t>
  </si>
  <si>
    <t xml:space="preserve">SANTES ‘ PLAÇA STA ANNA</t>
  </si>
  <si>
    <t xml:space="preserve">SANTES  CNM PASSEIG MARITIM</t>
  </si>
  <si>
    <t xml:space="preserve">SANTES PARC VELL</t>
  </si>
  <si>
    <t xml:space="preserve">SANTES ROCAFONDA</t>
  </si>
  <si>
    <t xml:space="preserve">SANTES PLA D´EN BOET</t>
  </si>
  <si>
    <t xml:space="preserve">PROMOCIÓ CIUTAT</t>
  </si>
  <si>
    <t xml:space="preserve">FIRA D´ATRACCIONS  18 dies</t>
  </si>
  <si>
    <t xml:space="preserve">TIPOLOGIA</t>
  </si>
  <si>
    <t xml:space="preserve">IMPORT S/ IVA</t>
  </si>
  <si>
    <t xml:space="preserve">TOTAL AMB IVA 21%</t>
  </si>
  <si>
    <t xml:space="preserve">METRES</t>
  </si>
  <si>
    <t xml:space="preserve">DIES</t>
  </si>
  <si>
    <t xml:space="preserve">TOTAL S/IVA</t>
  </si>
  <si>
    <t xml:space="preserve">TOTAL </t>
  </si>
  <si>
    <t xml:space="preserve">TANCA SENSE MUNTATGE</t>
  </si>
  <si>
    <t xml:space="preserve">TANCA BAIXA METÀL·LICA 2 m ample</t>
  </si>
  <si>
    <t xml:space="preserve">Tanca metàl·lica 2 m. llarg servei 10 dies</t>
  </si>
  <si>
    <t xml:space="preserve">unitat/dia</t>
  </si>
  <si>
    <t xml:space="preserve">Tanca metàl·lica 2 m. llarg servei 5 dies</t>
  </si>
  <si>
    <t xml:space="preserve">Tanca metàl·lica 2 m. llarg servei 3 dies</t>
  </si>
  <si>
    <t xml:space="preserve">Tanca metàl·lica 2 m. llarg servei 2 dies</t>
  </si>
  <si>
    <t xml:space="preserve">Tanca metàl·lica 2 m. llarg servei 1 dies</t>
  </si>
  <si>
    <t xml:space="preserve">TANCA BAIXA POLIETILÈ 2 m ample</t>
  </si>
  <si>
    <t xml:space="preserve">TANCA ALTA  METÀL·LICA 3 m ample</t>
  </si>
  <si>
    <t xml:space="preserve">Tanca ALTA METÀL·LICA 1,80 m ample TIPUS ZAMORANA  </t>
  </si>
  <si>
    <t xml:space="preserve">TANCA AMB MUNTATGE</t>
  </si>
  <si>
    <t xml:space="preserve">TANCA ALTA METÀL·LICA 3 m ample</t>
  </si>
  <si>
    <t xml:space="preserve">metre linial</t>
  </si>
  <si>
    <t xml:space="preserve">TANCA ALTA METÀL·LICA AMB RÀFIA 3 m ample</t>
  </si>
  <si>
    <t xml:space="preserve">TANCA METÀL·LICA 1,80 m ample TIPUS ZAMORANA </t>
  </si>
  <si>
    <t xml:space="preserve">TANCA METÀL·LICA ANTIAVALOT 1,08 m ample</t>
  </si>
  <si>
    <t xml:space="preserve">ANADA</t>
  </si>
  <si>
    <t xml:space="preserve">TORNADA</t>
  </si>
  <si>
    <t xml:space="preserve">ANADA I TORNADA</t>
  </si>
  <si>
    <t xml:space="preserve">METRES </t>
  </si>
  <si>
    <t xml:space="preserve">LLOGUER</t>
  </si>
  <si>
    <t xml:space="preserve">VIATGES</t>
  </si>
  <si>
    <t xml:space="preserve">TOTAL IVA</t>
  </si>
  <si>
    <t xml:space="preserve">AMPLADA</t>
  </si>
  <si>
    <t xml:space="preserve">€/U</t>
  </si>
  <si>
    <t xml:space="preserve">CAPACITAT</t>
  </si>
  <si>
    <t xml:space="preserve">€ m/l</t>
  </si>
  <si>
    <t xml:space="preserve">REIS - CAVALCADA DE REIS</t>
  </si>
  <si>
    <t xml:space="preserve">SANTES - PARC CENTRAL </t>
  </si>
  <si>
    <t xml:space="preserve">SANTES - PARC CENTRAL | ESCENARI</t>
  </si>
  <si>
    <t xml:space="preserve">SANTES  - FOSSAR XIC</t>
  </si>
  <si>
    <t xml:space="preserve">SANTES  - PASSEIG MARÍTIM | ESCENARI ESPIGÓ</t>
  </si>
  <si>
    <t xml:space="preserve">SANTES - PASSEIG MARÍTIM | ESPIGÓ</t>
  </si>
  <si>
    <t xml:space="preserve">SANTES - CONTROLS D'ACCÉS CENTRE HISTÒRIC</t>
  </si>
  <si>
    <t xml:space="preserve">SANTES - CASTELL DE FOCS</t>
  </si>
  <si>
    <t xml:space="preserve">SANTES’ INDERMINAT</t>
  </si>
  <si>
    <t xml:space="preserve">PROMOCIÓ ECONÒMICA</t>
  </si>
  <si>
    <t xml:space="preserve">LA FIRA</t>
  </si>
  <si>
    <t xml:space="preserve">HONDBOL PLATJA</t>
  </si>
  <si>
    <t xml:space="preserve">MITJA MARATÓ PER RELLEUS</t>
  </si>
  <si>
    <t xml:space="preserve">RUGBI PLATJA</t>
  </si>
  <si>
    <t xml:space="preserve">TRAVESSA NEDANT AL PORT</t>
  </si>
  <si>
    <t xml:space="preserve">INDETERMINAT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</si>
</sst>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,##0.00&quot; €&quot;"/>
    <numFmt numFmtId="166" formatCode="#,##0.00"/>
    <numFmt numFmtId="167" formatCode="#,##0"/>
    <numFmt numFmtId="168" formatCode="0.00\ %"/>
    <numFmt numFmtId="169" formatCode="General"/>
    <numFmt numFmtId="170" formatCode="0"/>
  </numFmts>
  <fonts count="19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0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z val="6"/>
      <name val="Calibri"/>
      <family val="2"/>
      <charset val="1"/>
    </font>
    <font>
      <sz val="6"/>
      <color rgb="FF000000"/>
      <name val="Calibri"/>
      <family val="2"/>
      <charset val="1"/>
    </font>
    <font>
      <b val="true"/>
      <sz val="9"/>
      <name val="Calibri"/>
      <family val="2"/>
      <charset val="1"/>
    </font>
    <font>
      <sz val="9"/>
      <color rgb="FF000000"/>
      <name val="Calibri"/>
      <family val="2"/>
      <charset val="1"/>
    </font>
    <font>
      <b val="true"/>
      <sz val="10"/>
      <name val="Calibri"/>
      <family val="2"/>
      <charset val="1"/>
    </font>
    <font>
      <sz val="11"/>
      <name val="Calibri"/>
      <family val="2"/>
      <charset val="1"/>
    </font>
    <font>
      <b val="true"/>
      <sz val="11"/>
      <name val="Calibri"/>
      <family val="2"/>
      <charset val="1"/>
    </font>
    <font>
      <sz val="24"/>
      <color rgb="FF000000"/>
      <name val="Calibri"/>
      <family val="0"/>
    </font>
    <font>
      <b val="true"/>
      <sz val="36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name val="Arial"/>
      <family val="2"/>
      <charset val="1"/>
    </font>
  </fonts>
  <fills count="1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969696"/>
        <bgColor rgb="FFA5A5A5"/>
      </patternFill>
    </fill>
    <fill>
      <patternFill patternType="solid">
        <fgColor rgb="FFFFCC00"/>
        <bgColor rgb="FFFFFF00"/>
      </patternFill>
    </fill>
    <fill>
      <patternFill patternType="solid">
        <fgColor rgb="FFD9D9D9"/>
        <bgColor rgb="FFD6DCE5"/>
      </patternFill>
    </fill>
    <fill>
      <patternFill patternType="solid">
        <fgColor rgb="FF92D050"/>
        <bgColor rgb="FFA5A5A5"/>
      </patternFill>
    </fill>
    <fill>
      <patternFill patternType="solid">
        <fgColor rgb="FFF4B183"/>
        <bgColor rgb="FFC0C0C0"/>
      </patternFill>
    </fill>
    <fill>
      <patternFill patternType="solid">
        <fgColor rgb="FFB4C7E7"/>
        <bgColor rgb="FF9DC3E6"/>
      </patternFill>
    </fill>
    <fill>
      <patternFill patternType="solid">
        <fgColor rgb="FFC0C0C0"/>
        <bgColor rgb="FFD0CECE"/>
      </patternFill>
    </fill>
    <fill>
      <patternFill patternType="solid">
        <fgColor rgb="FF9DC3E6"/>
        <bgColor rgb="FFB4C7E7"/>
      </patternFill>
    </fill>
    <fill>
      <patternFill patternType="solid">
        <fgColor rgb="FFF2F2F2"/>
        <bgColor rgb="FFEDEDED"/>
      </patternFill>
    </fill>
    <fill>
      <patternFill patternType="solid">
        <fgColor rgb="FFFBE5D6"/>
        <bgColor rgb="FFEDEDED"/>
      </patternFill>
    </fill>
    <fill>
      <patternFill patternType="solid">
        <fgColor rgb="FFD0CECE"/>
        <bgColor rgb="FFD9D9D9"/>
      </patternFill>
    </fill>
    <fill>
      <patternFill patternType="solid">
        <fgColor rgb="FFD6DCE5"/>
        <bgColor rgb="FFD9D9D9"/>
      </patternFill>
    </fill>
    <fill>
      <patternFill patternType="solid">
        <fgColor rgb="FFE2F0D9"/>
        <bgColor rgb="FFEDEDED"/>
      </patternFill>
    </fill>
    <fill>
      <patternFill patternType="solid">
        <fgColor rgb="FFEDEDED"/>
        <bgColor rgb="FFF2F2F2"/>
      </patternFill>
    </fill>
  </fills>
  <borders count="46">
    <border diagonalUp="false" diagonalDown="false">
      <left/>
      <right/>
      <top/>
      <bottom/>
      <diagonal/>
    </border>
    <border diagonalUp="false" diagonalDown="false">
      <left/>
      <right/>
      <top/>
      <bottom style="medium"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medium"/>
      <right/>
      <top style="medium"/>
      <bottom style="thin"/>
      <diagonal/>
    </border>
    <border diagonalUp="false" diagonalDown="false">
      <left/>
      <right/>
      <top style="medium"/>
      <bottom style="thin"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 style="medium"/>
      <top style="medium"/>
      <bottom style="thin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/>
      <right style="thin"/>
      <top style="medium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hair"/>
      <right style="hair"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xfId="2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0" xfId="2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2" borderId="0" xfId="2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6" fillId="2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3" borderId="3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7" fillId="3" borderId="4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9" fillId="2" borderId="0" xfId="20" applyFont="true" applyBorder="fals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4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4" borderId="6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7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2" borderId="7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12" fillId="5" borderId="8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3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1" fillId="4" borderId="1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9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2" borderId="9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7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4" borderId="11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12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2" borderId="12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0" fillId="6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6" borderId="9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7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7" borderId="6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2" borderId="7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1" fillId="7" borderId="1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2" borderId="9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1" fillId="7" borderId="11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2" borderId="12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0" fillId="8" borderId="5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8" borderId="2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2" borderId="3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2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1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0" fillId="4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9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2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13" fillId="0" borderId="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6" fontId="0" fillId="0" borderId="9" xfId="0" applyFont="fals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6" borderId="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8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1" fillId="8" borderId="6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1" fillId="8" borderId="14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5" fillId="2" borderId="15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1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4" fillId="0" borderId="0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5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12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4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6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7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12" fillId="9" borderId="16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2" fillId="9" borderId="1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2" fillId="2" borderId="0" xfId="0" applyFont="true" applyBorder="false" applyAlignment="true" applyProtection="true">
      <alignment horizontal="center" vertical="center" textRotation="0" wrapText="true" indent="0" shrinkToFit="false"/>
      <protection locked="false" hidden="false"/>
    </xf>
    <xf numFmtId="164" fontId="10" fillId="4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6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7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7" borderId="19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0" fillId="7" borderId="1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10" borderId="1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10" borderId="19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10" borderId="1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10" borderId="2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2" fillId="5" borderId="2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12" fillId="9" borderId="2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2" fillId="9" borderId="2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11" borderId="2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2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2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2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9" borderId="2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2" fillId="9" borderId="2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2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2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2" fillId="2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2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5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2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5" borderId="3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12" fillId="2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13" borderId="3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5" fillId="2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2" fillId="13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12" fillId="13" borderId="3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2" fillId="14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2" fillId="15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2" borderId="1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6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5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5" fontId="6" fillId="2" borderId="0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2" borderId="0" xfId="2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7" fillId="3" borderId="32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5" fillId="2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5" fillId="2" borderId="1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0" fillId="4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2" borderId="7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2" borderId="7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12" fillId="5" borderId="3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5" borderId="34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12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2" borderId="1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5" borderId="35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6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12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4" fillId="2" borderId="0" xfId="2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1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70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9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2" borderId="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5" borderId="36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10" fillId="7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2" borderId="3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2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5" fontId="5" fillId="5" borderId="3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2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12" fillId="5" borderId="9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1" fillId="8" borderId="1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0" fillId="0" borderId="9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2" borderId="15" xfId="2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6" fontId="18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0" fillId="16" borderId="1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16" borderId="1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0" fillId="16" borderId="2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2" fillId="11" borderId="2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3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2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3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2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3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1" borderId="2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12" borderId="7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5" fontId="12" fillId="2" borderId="1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2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2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5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5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2" borderId="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5" fontId="12" fillId="2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5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5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5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5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2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5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5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5" borderId="2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8" fontId="5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12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2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2" borderId="4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5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5" borderId="3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2" borderId="4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5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2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2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2" borderId="4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5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5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5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5" borderId="4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2" borderId="4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2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5" borderId="44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2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2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2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12" fillId="5" borderId="4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5" borderId="4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12" fillId="5" borderId="4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5" borderId="4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2" borderId="4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5" borderId="4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2" borderId="45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5" borderId="4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2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12" fillId="5" borderId="4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5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12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 2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A5A5A5"/>
      <rgbColor rgb="FF993366"/>
      <rgbColor rgb="FFF2F2F2"/>
      <rgbColor rgb="FFEDEDED"/>
      <rgbColor rgb="FF660066"/>
      <rgbColor rgb="FFFF8080"/>
      <rgbColor rgb="FF0066CC"/>
      <rgbColor rgb="FFB4C7E7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6DCE5"/>
      <rgbColor rgb="FFE2F0D9"/>
      <rgbColor rgb="FFFBE5D6"/>
      <rgbColor rgb="FF9DC3E6"/>
      <rgbColor rgb="FFD9D9D9"/>
      <rgbColor rgb="FFD0CECE"/>
      <rgbColor rgb="FFF4B183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externalLink" Target="externalLinks/externalLink1.xml"/><Relationship Id="rId7" Type="http://schemas.openxmlformats.org/officeDocument/2006/relationships/externalLink" Target="externalLinks/externalLink2.xml"/><Relationship Id="rId8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182880</xdr:colOff>
      <xdr:row>0</xdr:row>
      <xdr:rowOff>77760</xdr:rowOff>
    </xdr:from>
    <xdr:to>
      <xdr:col>5</xdr:col>
      <xdr:colOff>223560</xdr:colOff>
      <xdr:row>1</xdr:row>
      <xdr:rowOff>21960</xdr:rowOff>
    </xdr:to>
    <xdr:sp>
      <xdr:nvSpPr>
        <xdr:cNvPr id="0" name="CuadroTexto 1"/>
        <xdr:cNvSpPr/>
      </xdr:nvSpPr>
      <xdr:spPr>
        <a:xfrm>
          <a:off x="182880" y="77760"/>
          <a:ext cx="3933360" cy="48708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es-ES_tradnl" sz="2400" spc="-1" strike="noStrike">
              <a:solidFill>
                <a:srgbClr val="000000"/>
              </a:solidFill>
              <a:latin typeface="Calibri"/>
            </a:rPr>
            <a:t>PREUS BASE MÒDULS</a:t>
          </a:r>
          <a:endParaRPr b="0" lang="es-ES" sz="2400" spc="-1" strike="noStrike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34560</xdr:colOff>
      <xdr:row>0</xdr:row>
      <xdr:rowOff>92520</xdr:rowOff>
    </xdr:from>
    <xdr:to>
      <xdr:col>2</xdr:col>
      <xdr:colOff>2603880</xdr:colOff>
      <xdr:row>0</xdr:row>
      <xdr:rowOff>716040</xdr:rowOff>
    </xdr:to>
    <xdr:sp>
      <xdr:nvSpPr>
        <xdr:cNvPr id="1" name="CuadroTexto 1"/>
        <xdr:cNvSpPr/>
      </xdr:nvSpPr>
      <xdr:spPr>
        <a:xfrm>
          <a:off x="34560" y="92520"/>
          <a:ext cx="3344040" cy="62352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es-ES_tradnl" sz="2400" spc="-1" strike="noStrike">
              <a:solidFill>
                <a:srgbClr val="000000"/>
              </a:solidFill>
              <a:latin typeface="Calibri"/>
            </a:rPr>
            <a:t>ANNEX ACTIVITAT MÒDULS</a:t>
          </a:r>
          <a:endParaRPr b="0" lang="es-ES" sz="2400" spc="-1" strike="noStrike">
            <a:latin typeface="Times New Roman"/>
          </a:endParaRPr>
        </a:p>
      </xdr:txBody>
    </xdr:sp>
    <xdr:clientData/>
  </xdr:twoCellAnchor>
  <xdr:twoCellAnchor editAs="twoCell">
    <xdr:from>
      <xdr:col>2</xdr:col>
      <xdr:colOff>1307880</xdr:colOff>
      <xdr:row>16</xdr:row>
      <xdr:rowOff>190440</xdr:rowOff>
    </xdr:from>
    <xdr:to>
      <xdr:col>2</xdr:col>
      <xdr:colOff>1714320</xdr:colOff>
      <xdr:row>17</xdr:row>
      <xdr:rowOff>152280</xdr:rowOff>
    </xdr:to>
    <xdr:cxnSp>
      <xdr:nvCxnSpPr>
        <xdr:cNvPr id="2" name="Conector curvado 4"/>
        <xdr:cNvCxnSpPr/>
      </xdr:nvCxnSpPr>
      <xdr:spPr>
        <a:xfrm flipV="1" rot="10800000">
          <a:off x="2082240" y="6095520"/>
          <a:ext cx="406800" cy="276480"/>
        </a:xfrm>
        <a:prstGeom prst="curvedConnector3">
          <a:avLst>
            <a:gd name="adj1" fmla="val 24977"/>
          </a:avLst>
        </a:prstGeom>
        <a:ln w="0">
          <a:solidFill>
            <a:srgbClr val="ed7d31"/>
          </a:solidFill>
          <a:tailEnd len="med" type="triangle" w="med"/>
        </a:ln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0</xdr:colOff>
      <xdr:row>0</xdr:row>
      <xdr:rowOff>0</xdr:rowOff>
    </xdr:from>
    <xdr:to>
      <xdr:col>6</xdr:col>
      <xdr:colOff>279000</xdr:colOff>
      <xdr:row>0</xdr:row>
      <xdr:rowOff>450000</xdr:rowOff>
    </xdr:to>
    <xdr:sp>
      <xdr:nvSpPr>
        <xdr:cNvPr id="3" name="CuadroTexto 1"/>
        <xdr:cNvSpPr/>
      </xdr:nvSpPr>
      <xdr:spPr>
        <a:xfrm>
          <a:off x="923760" y="0"/>
          <a:ext cx="4085280" cy="45000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es-ES_tradnl" sz="2400" spc="-1" strike="noStrike">
              <a:solidFill>
                <a:srgbClr val="000000"/>
              </a:solidFill>
              <a:latin typeface="Calibri"/>
            </a:rPr>
            <a:t>PREUS BASE TANQUES</a:t>
          </a:r>
          <a:endParaRPr b="0" lang="es-ES" sz="2400" spc="-1" strike="noStrike">
            <a:latin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34560</xdr:colOff>
      <xdr:row>0</xdr:row>
      <xdr:rowOff>87840</xdr:rowOff>
    </xdr:from>
    <xdr:to>
      <xdr:col>2</xdr:col>
      <xdr:colOff>2534760</xdr:colOff>
      <xdr:row>0</xdr:row>
      <xdr:rowOff>681120</xdr:rowOff>
    </xdr:to>
    <xdr:sp>
      <xdr:nvSpPr>
        <xdr:cNvPr id="4" name="CuadroTexto 1"/>
        <xdr:cNvSpPr/>
      </xdr:nvSpPr>
      <xdr:spPr>
        <a:xfrm>
          <a:off x="175680" y="87840"/>
          <a:ext cx="3879360" cy="593280"/>
        </a:xfrm>
        <a:prstGeom prst="rect">
          <a:avLst/>
        </a:prstGeom>
        <a:solidFill>
          <a:srgbClr val="ffffff"/>
        </a:solidFill>
        <a:ln w="9525">
          <a:noFill/>
        </a:ln>
      </xdr:spPr>
      <xdr:style>
        <a:lnRef idx="0"/>
        <a:fillRef idx="0"/>
        <a:effectRef idx="0"/>
        <a:fontRef idx="minor"/>
      </xdr:style>
      <xdr:txBody>
        <a:bodyPr horzOverflow="clip" vertOverflow="clip" lIns="90000" rIns="90000" tIns="45000" bIns="45000" anchor="t">
          <a:noAutofit/>
        </a:bodyPr>
        <a:p>
          <a:pPr>
            <a:lnSpc>
              <a:spcPct val="100000"/>
            </a:lnSpc>
          </a:pPr>
          <a:r>
            <a:rPr b="0" lang="es-ES_tradnl" sz="2400" spc="-1" strike="noStrike">
              <a:solidFill>
                <a:srgbClr val="000000"/>
              </a:solidFill>
              <a:latin typeface="Calibri"/>
            </a:rPr>
            <a:t>ANNEX ACTIVITAT TANQUES</a:t>
          </a:r>
          <a:endParaRPr b="0" lang="es-ES" sz="2400" spc="-1" strike="noStrike">
            <a:latin typeface="Times New Roman"/>
          </a:endParaRPr>
        </a:p>
      </xdr:txBody>
    </xdr:sp>
    <xdr:clientData/>
  </xdr:twoCellAnchor>
</xdr:wsDr>
</file>

<file path=xl/externalLinks/_rels/externalLink1.xml.rels><?xml version="1.0" encoding="UTF-8"?>
<Relationships xmlns="http://schemas.openxmlformats.org/package/2006/relationships"><Relationship Id="rId1" Type="http://schemas.openxmlformats.org/officeDocument/2006/relationships/externalLinkPath" Target="file://orion/cultura/Users/joansalommoreno/Library/Mobile%20Documents/com~apple~CloudDocs/CULTURA%20MATARO&#769;/CONTRACTES/SO%20I%20LLUM/2023/SO%20I%20LLUM%202023.xlsx" TargetMode="External"/>
</Relationships>
</file>

<file path=xl/externalLinks/_rels/externalLink2.xml.rels><?xml version="1.0" encoding="UTF-8"?>
<Relationships xmlns="http://schemas.openxmlformats.org/package/2006/relationships"><Relationship Id="rId1" Type="http://schemas.openxmlformats.org/officeDocument/2006/relationships/externalLinkPath" Target="file://orion/cultura/ADMINISTRACIO/Contractes-licitacions/Lloguer%20Tanques/TANQUES%20a%2016.03.xlsx" TargetMode="External"/>
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GRAMACIÓ"/>
      <sheetName val="PREUS BASE"/>
      <sheetName val="ANNEX ACTIVITAT"/>
      <sheetName val="CONTINGUT SO"/>
      <sheetName val="CONTINGUT LLUM"/>
      <sheetName val="SANTES"/>
      <sheetName val="SANTES_PROG CONSUETUD"/>
      <sheetName val="CULTURA POPULAR"/>
      <sheetName val="LOTS"/>
      <sheetName val="LLISTATS DESPLEG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/>
</externalLink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Q1048576"/>
  <sheetViews>
    <sheetView showFormulas="false" showGridLines="true" showRowColHeaders="true" showZeros="true" rightToLeft="false" tabSelected="true" showOutlineSymbols="true" defaultGridColor="true" view="pageBreakPreview" topLeftCell="A15" colorId="64" zoomScale="100" zoomScaleNormal="85" zoomScalePageLayoutView="100" workbookViewId="0">
      <selection pane="topLeft" activeCell="L29" activeCellId="0" sqref="L29"/>
    </sheetView>
  </sheetViews>
  <sheetFormatPr defaultColWidth="10.78515625" defaultRowHeight="13.8" zeroHeight="false" outlineLevelRow="0" outlineLevelCol="0"/>
  <cols>
    <col collapsed="false" customWidth="true" hidden="false" outlineLevel="0" max="1" min="1" style="1" width="3.34"/>
    <col collapsed="false" customWidth="true" hidden="false" outlineLevel="0" max="2" min="2" style="1" width="13.67"/>
    <col collapsed="false" customWidth="true" hidden="false" outlineLevel="0" max="3" min="3" style="2" width="25.55"/>
    <col collapsed="false" customWidth="true" hidden="false" outlineLevel="0" max="4" min="4" style="3" width="12.67"/>
    <col collapsed="false" customWidth="false" hidden="true" outlineLevel="0" max="5" min="5" style="1" width="10.78"/>
    <col collapsed="false" customWidth="false" hidden="false" outlineLevel="0" max="6" min="6" style="4" width="10.78"/>
    <col collapsed="false" customWidth="true" hidden="false" outlineLevel="0" max="7" min="7" style="5" width="1.77"/>
    <col collapsed="false" customWidth="true" hidden="false" outlineLevel="0" max="8" min="8" style="1" width="2.42"/>
    <col collapsed="false" customWidth="false" hidden="false" outlineLevel="0" max="11" min="9" style="1" width="10.78"/>
    <col collapsed="false" customWidth="false" hidden="false" outlineLevel="0" max="16381" min="14" style="1" width="10.78"/>
    <col collapsed="false" customWidth="true" hidden="false" outlineLevel="0" max="16384" min="16382" style="1" width="11.53"/>
  </cols>
  <sheetData>
    <row r="1" customFormat="false" ht="42.75" hidden="false" customHeight="true" outlineLevel="0" collapsed="false">
      <c r="A1" s="6"/>
      <c r="B1" s="6"/>
      <c r="C1" s="7"/>
      <c r="D1" s="8"/>
      <c r="E1" s="6"/>
      <c r="F1" s="9"/>
      <c r="G1" s="6"/>
      <c r="H1" s="6"/>
    </row>
    <row r="2" customFormat="false" ht="42" hidden="false" customHeight="true" outlineLevel="0" collapsed="false">
      <c r="A2" s="6"/>
      <c r="B2" s="6"/>
      <c r="C2" s="7"/>
      <c r="D2" s="10"/>
      <c r="E2" s="10"/>
      <c r="F2" s="10"/>
      <c r="G2" s="6"/>
      <c r="H2" s="6"/>
    </row>
    <row r="3" customFormat="false" ht="40.5" hidden="false" customHeight="true" outlineLevel="0" collapsed="false">
      <c r="A3" s="6"/>
      <c r="B3" s="11" t="s">
        <v>0</v>
      </c>
      <c r="C3" s="11"/>
      <c r="D3" s="12" t="s">
        <v>1</v>
      </c>
      <c r="E3" s="13"/>
      <c r="F3" s="14" t="s">
        <v>2</v>
      </c>
      <c r="G3" s="6"/>
      <c r="H3" s="6"/>
      <c r="I3" s="12" t="s">
        <v>3</v>
      </c>
      <c r="J3" s="13"/>
      <c r="K3" s="14" t="s">
        <v>4</v>
      </c>
      <c r="L3" s="14" t="s">
        <v>5</v>
      </c>
    </row>
    <row r="4" s="17" customFormat="true" ht="15.75" hidden="false" customHeight="true" outlineLevel="0" collapsed="false">
      <c r="A4" s="15"/>
      <c r="B4" s="16"/>
      <c r="C4" s="16"/>
      <c r="D4" s="16"/>
      <c r="E4" s="16"/>
      <c r="F4" s="16"/>
      <c r="G4" s="16"/>
      <c r="H4" s="15"/>
      <c r="L4" s="5"/>
      <c r="M4" s="5"/>
    </row>
    <row r="5" customFormat="false" ht="24.75" hidden="false" customHeight="true" outlineLevel="0" collapsed="false">
      <c r="A5" s="6"/>
      <c r="B5" s="18" t="s">
        <v>6</v>
      </c>
      <c r="C5" s="19" t="s">
        <v>7</v>
      </c>
      <c r="D5" s="20" t="n">
        <v>102.72</v>
      </c>
      <c r="E5" s="21"/>
      <c r="F5" s="22" t="n">
        <f aca="false">ROUND(+1.21*D5,2)</f>
        <v>124.29</v>
      </c>
      <c r="G5" s="6"/>
      <c r="H5" s="6"/>
      <c r="I5" s="23" t="n">
        <v>3</v>
      </c>
      <c r="J5" s="23"/>
      <c r="K5" s="24" t="n">
        <f aca="false">I5*D5</f>
        <v>308.16</v>
      </c>
      <c r="L5" s="25" t="n">
        <f aca="false">K5*1.21</f>
        <v>372.8736</v>
      </c>
    </row>
    <row r="6" customFormat="false" ht="24.75" hidden="false" customHeight="true" outlineLevel="0" collapsed="false">
      <c r="A6" s="6"/>
      <c r="B6" s="18"/>
      <c r="C6" s="26" t="s">
        <v>8</v>
      </c>
      <c r="D6" s="27" t="n">
        <f aca="false">104.16*1.09</f>
        <v>113.5344</v>
      </c>
      <c r="E6" s="28"/>
      <c r="F6" s="22" t="n">
        <f aca="false">ROUND(+1.21*D6,2)</f>
        <v>137.38</v>
      </c>
      <c r="G6" s="6"/>
      <c r="H6" s="6"/>
      <c r="I6" s="23" t="n">
        <v>1</v>
      </c>
      <c r="J6" s="23"/>
      <c r="K6" s="24" t="n">
        <f aca="false">I6*D6</f>
        <v>113.5344</v>
      </c>
      <c r="L6" s="25" t="n">
        <f aca="false">K6*1.21</f>
        <v>137.376624</v>
      </c>
      <c r="O6" s="29"/>
    </row>
    <row r="7" customFormat="false" ht="24.75" hidden="false" customHeight="true" outlineLevel="0" collapsed="false">
      <c r="A7" s="6"/>
      <c r="B7" s="18"/>
      <c r="C7" s="30" t="s">
        <v>9</v>
      </c>
      <c r="D7" s="31" t="n">
        <v>155.23</v>
      </c>
      <c r="E7" s="32"/>
      <c r="F7" s="22" t="n">
        <f aca="false">ROUND(+1.21*D7,2)</f>
        <v>187.83</v>
      </c>
      <c r="G7" s="6"/>
      <c r="H7" s="6"/>
      <c r="I7" s="23" t="n">
        <v>11</v>
      </c>
      <c r="J7" s="23"/>
      <c r="K7" s="24" t="n">
        <f aca="false">I7*D7</f>
        <v>1707.53</v>
      </c>
      <c r="L7" s="25" t="n">
        <f aca="false">K7*1.21</f>
        <v>2066.1113</v>
      </c>
    </row>
    <row r="8" customFormat="false" ht="24.75" hidden="false" customHeight="true" outlineLevel="0" collapsed="false">
      <c r="A8" s="6"/>
      <c r="B8" s="33" t="s">
        <v>10</v>
      </c>
      <c r="C8" s="34" t="s">
        <v>11</v>
      </c>
      <c r="D8" s="27" t="n">
        <v>96.43</v>
      </c>
      <c r="E8" s="28"/>
      <c r="F8" s="22" t="n">
        <f aca="false">ROUND(+1.21*D8,2)</f>
        <v>116.68</v>
      </c>
      <c r="G8" s="6"/>
      <c r="H8" s="6"/>
      <c r="I8" s="23" t="n">
        <v>4</v>
      </c>
      <c r="J8" s="23"/>
      <c r="K8" s="24" t="n">
        <f aca="false">I8*D8</f>
        <v>385.72</v>
      </c>
      <c r="L8" s="25" t="n">
        <f aca="false">K8*1.21</f>
        <v>466.7212</v>
      </c>
    </row>
    <row r="9" customFormat="false" ht="24.75" hidden="false" customHeight="true" outlineLevel="0" collapsed="false">
      <c r="A9" s="6"/>
      <c r="B9" s="33"/>
      <c r="C9" s="34" t="s">
        <v>12</v>
      </c>
      <c r="D9" s="27" t="n">
        <f aca="false">96.32*1.05</f>
        <v>101.136</v>
      </c>
      <c r="E9" s="28"/>
      <c r="F9" s="22" t="n">
        <f aca="false">ROUND(+1.21*D9,2)</f>
        <v>122.37</v>
      </c>
      <c r="G9" s="6"/>
      <c r="H9" s="6"/>
      <c r="I9" s="23" t="n">
        <v>22</v>
      </c>
      <c r="J9" s="23"/>
      <c r="K9" s="24" t="n">
        <f aca="false">I9*D9</f>
        <v>2224.992</v>
      </c>
      <c r="L9" s="25" t="n">
        <f aca="false">K9*1.21</f>
        <v>2692.24032</v>
      </c>
    </row>
    <row r="10" customFormat="false" ht="24.75" hidden="false" customHeight="true" outlineLevel="0" collapsed="false">
      <c r="A10" s="6"/>
      <c r="B10" s="33"/>
      <c r="C10" s="34" t="s">
        <v>13</v>
      </c>
      <c r="D10" s="27" t="n">
        <v>108.32</v>
      </c>
      <c r="E10" s="28"/>
      <c r="F10" s="22" t="n">
        <f aca="false">ROUND(+1.21*D10,2)</f>
        <v>131.07</v>
      </c>
      <c r="G10" s="6"/>
      <c r="H10" s="6"/>
      <c r="I10" s="23" t="n">
        <v>3</v>
      </c>
      <c r="J10" s="23"/>
      <c r="K10" s="24" t="n">
        <f aca="false">I10*D10</f>
        <v>324.96</v>
      </c>
      <c r="L10" s="25" t="n">
        <f aca="false">K10*1.21</f>
        <v>393.2016</v>
      </c>
    </row>
    <row r="11" customFormat="false" ht="24.75" hidden="false" customHeight="true" outlineLevel="0" collapsed="false">
      <c r="A11" s="6"/>
      <c r="B11" s="35" t="s">
        <v>14</v>
      </c>
      <c r="C11" s="36" t="s">
        <v>15</v>
      </c>
      <c r="D11" s="37" t="n">
        <f aca="false">181.44*1.05</f>
        <v>190.512</v>
      </c>
      <c r="E11" s="21"/>
      <c r="F11" s="22" t="n">
        <f aca="false">ROUND(+1.21*D11,2)</f>
        <v>230.52</v>
      </c>
      <c r="G11" s="6"/>
      <c r="H11" s="6"/>
      <c r="I11" s="23" t="n">
        <v>1</v>
      </c>
      <c r="J11" s="23"/>
      <c r="K11" s="24" t="n">
        <f aca="false">I11*D11</f>
        <v>190.512</v>
      </c>
      <c r="L11" s="25" t="n">
        <f aca="false">K11*1.21</f>
        <v>230.51952</v>
      </c>
    </row>
    <row r="12" customFormat="false" ht="24.75" hidden="false" customHeight="true" outlineLevel="0" collapsed="false">
      <c r="A12" s="6"/>
      <c r="B12" s="35"/>
      <c r="C12" s="38" t="s">
        <v>16</v>
      </c>
      <c r="D12" s="39" t="n">
        <f aca="false">229.152*1.05</f>
        <v>240.6096</v>
      </c>
      <c r="E12" s="28"/>
      <c r="F12" s="22" t="n">
        <f aca="false">ROUND(+1.21*D12,2)</f>
        <v>291.14</v>
      </c>
      <c r="G12" s="6"/>
      <c r="H12" s="6"/>
      <c r="I12" s="23" t="n">
        <v>9</v>
      </c>
      <c r="J12" s="23"/>
      <c r="K12" s="24" t="n">
        <f aca="false">I12*D12</f>
        <v>2165.4864</v>
      </c>
      <c r="L12" s="25" t="n">
        <f aca="false">K12*1.21</f>
        <v>2620.238544</v>
      </c>
    </row>
    <row r="13" customFormat="false" ht="24.75" hidden="false" customHeight="true" outlineLevel="0" collapsed="false">
      <c r="A13" s="6"/>
      <c r="B13" s="35"/>
      <c r="C13" s="40" t="s">
        <v>12</v>
      </c>
      <c r="D13" s="41" t="n">
        <f aca="false">312.48*1.05</f>
        <v>328.104</v>
      </c>
      <c r="E13" s="32"/>
      <c r="F13" s="22" t="n">
        <f aca="false">ROUND(+1.21*D13,2)</f>
        <v>397.01</v>
      </c>
      <c r="G13" s="6"/>
      <c r="H13" s="6"/>
      <c r="I13" s="23" t="n">
        <v>1</v>
      </c>
      <c r="J13" s="23"/>
      <c r="K13" s="24" t="n">
        <f aca="false">I13*D13</f>
        <v>328.104</v>
      </c>
      <c r="L13" s="25" t="n">
        <f aca="false">K13*1.21</f>
        <v>397.00584</v>
      </c>
      <c r="P13" s="14"/>
      <c r="Q13" s="14"/>
    </row>
    <row r="14" customFormat="false" ht="24.75" hidden="false" customHeight="true" outlineLevel="0" collapsed="false">
      <c r="A14" s="6"/>
      <c r="B14" s="42" t="s">
        <v>17</v>
      </c>
      <c r="C14" s="43" t="s">
        <v>18</v>
      </c>
      <c r="D14" s="44" t="n">
        <f aca="false">336*1.05</f>
        <v>352.8</v>
      </c>
      <c r="E14" s="45"/>
      <c r="F14" s="22" t="n">
        <f aca="false">ROUND(+1.21*D14,2)</f>
        <v>426.89</v>
      </c>
      <c r="G14" s="6"/>
      <c r="H14" s="6"/>
      <c r="I14" s="23" t="n">
        <v>1</v>
      </c>
      <c r="J14" s="23"/>
      <c r="K14" s="24" t="n">
        <f aca="false">I14*D14</f>
        <v>352.8</v>
      </c>
      <c r="L14" s="25" t="n">
        <f aca="false">K14*1.21</f>
        <v>426.888</v>
      </c>
    </row>
    <row r="15" customFormat="false" ht="13.8" hidden="false" customHeight="false" outlineLevel="0" collapsed="false">
      <c r="A15" s="6"/>
      <c r="B15" s="6"/>
      <c r="C15" s="7"/>
      <c r="D15" s="8"/>
      <c r="E15" s="6"/>
      <c r="F15" s="9"/>
      <c r="G15" s="6"/>
      <c r="H15" s="6"/>
      <c r="I15" s="46"/>
      <c r="J15" s="46"/>
      <c r="K15" s="47" t="n">
        <f aca="false">SUM(K5:K14)</f>
        <v>8101.7988</v>
      </c>
      <c r="L15" s="47" t="n">
        <f aca="false">SUM(L5:L14)</f>
        <v>9803.176548</v>
      </c>
    </row>
    <row r="16" customFormat="false" ht="13.8" hidden="false" customHeight="false" outlineLevel="0" collapsed="false">
      <c r="A16" s="6"/>
      <c r="B16" s="6"/>
      <c r="C16" s="7"/>
      <c r="D16" s="8"/>
      <c r="E16" s="6"/>
      <c r="F16" s="9"/>
      <c r="G16" s="6"/>
      <c r="H16" s="6"/>
      <c r="K16" s="48"/>
    </row>
    <row r="17" customFormat="false" ht="26" hidden="false" customHeight="true" outlineLevel="0" collapsed="false">
      <c r="A17" s="6"/>
      <c r="B17" s="11" t="s">
        <v>19</v>
      </c>
      <c r="C17" s="11"/>
      <c r="D17" s="12" t="s">
        <v>20</v>
      </c>
      <c r="E17" s="13" t="s">
        <v>21</v>
      </c>
      <c r="F17" s="14" t="s">
        <v>2</v>
      </c>
      <c r="G17" s="6"/>
      <c r="H17" s="6"/>
      <c r="I17" s="12" t="s">
        <v>3</v>
      </c>
      <c r="J17" s="12" t="s">
        <v>22</v>
      </c>
      <c r="K17" s="14" t="s">
        <v>4</v>
      </c>
      <c r="L17" s="14" t="s">
        <v>5</v>
      </c>
    </row>
    <row r="18" customFormat="false" ht="12.8" hidden="false" customHeight="true" outlineLevel="0" collapsed="false">
      <c r="A18" s="6"/>
      <c r="B18" s="49" t="s">
        <v>6</v>
      </c>
      <c r="C18" s="19" t="s">
        <v>9</v>
      </c>
      <c r="D18" s="50" t="n">
        <v>134.4</v>
      </c>
      <c r="E18" s="51"/>
      <c r="F18" s="52" t="n">
        <f aca="false">ROUND(+1.21*D18,2)</f>
        <v>162.62</v>
      </c>
      <c r="G18" s="6"/>
      <c r="H18" s="6"/>
      <c r="I18" s="53" t="n">
        <v>3</v>
      </c>
      <c r="J18" s="53" t="n">
        <v>8</v>
      </c>
      <c r="K18" s="54" t="n">
        <f aca="false">D18*I18*J18</f>
        <v>3225.6</v>
      </c>
      <c r="L18" s="55" t="n">
        <f aca="false">K18*1.21</f>
        <v>3902.976</v>
      </c>
    </row>
    <row r="19" customFormat="false" ht="18.2" hidden="false" customHeight="true" outlineLevel="0" collapsed="false">
      <c r="A19" s="6"/>
      <c r="B19" s="49"/>
      <c r="C19" s="19"/>
      <c r="D19" s="50"/>
      <c r="E19" s="51"/>
      <c r="F19" s="52"/>
      <c r="G19" s="6"/>
      <c r="H19" s="6"/>
      <c r="I19" s="53"/>
      <c r="J19" s="53"/>
      <c r="K19" s="54" t="e">
        <f aca="false">#REF!+#REF!</f>
        <v>#REF!</v>
      </c>
      <c r="L19" s="55"/>
      <c r="O19" s="29"/>
    </row>
    <row r="20" customFormat="false" ht="13.8" hidden="false" customHeight="true" outlineLevel="0" collapsed="false">
      <c r="A20" s="6"/>
      <c r="B20" s="56" t="s">
        <v>10</v>
      </c>
      <c r="C20" s="34" t="s">
        <v>11</v>
      </c>
      <c r="D20" s="39" t="n">
        <v>89.6</v>
      </c>
      <c r="E20" s="51"/>
      <c r="F20" s="52" t="n">
        <f aca="false">ROUND(+1.21*D20,2)</f>
        <v>108.42</v>
      </c>
      <c r="G20" s="6"/>
      <c r="H20" s="6"/>
      <c r="I20" s="23" t="n">
        <v>1</v>
      </c>
      <c r="J20" s="23" t="n">
        <v>8</v>
      </c>
      <c r="K20" s="54" t="n">
        <f aca="false">D20*I20*J20</f>
        <v>716.8</v>
      </c>
      <c r="L20" s="55" t="n">
        <f aca="false">K20*1.21</f>
        <v>867.328</v>
      </c>
    </row>
    <row r="21" customFormat="false" ht="13.8" hidden="false" customHeight="false" outlineLevel="0" collapsed="false">
      <c r="A21" s="6"/>
      <c r="B21" s="56"/>
      <c r="C21" s="34" t="s">
        <v>23</v>
      </c>
      <c r="D21" s="39" t="n">
        <v>104.1</v>
      </c>
      <c r="E21" s="51"/>
      <c r="F21" s="52" t="n">
        <f aca="false">ROUND(+1.21*D21,2)</f>
        <v>125.96</v>
      </c>
      <c r="G21" s="6"/>
      <c r="H21" s="6"/>
      <c r="I21" s="23" t="n">
        <v>1</v>
      </c>
      <c r="J21" s="23" t="n">
        <v>13</v>
      </c>
      <c r="K21" s="54" t="n">
        <f aca="false">D21*I21*J21</f>
        <v>1353.3</v>
      </c>
      <c r="L21" s="55" t="n">
        <f aca="false">K21*1.21</f>
        <v>1637.493</v>
      </c>
    </row>
    <row r="22" customFormat="false" ht="13.8" hidden="false" customHeight="false" outlineLevel="0" collapsed="false">
      <c r="A22" s="6"/>
      <c r="B22" s="57"/>
      <c r="C22" s="7"/>
      <c r="D22" s="8"/>
      <c r="E22" s="6"/>
      <c r="F22" s="9"/>
      <c r="G22" s="6"/>
      <c r="H22" s="6"/>
      <c r="I22" s="46"/>
      <c r="J22" s="46"/>
      <c r="K22" s="47" t="n">
        <f aca="false">K18+K20+K21</f>
        <v>5295.7</v>
      </c>
      <c r="L22" s="47" t="n">
        <f aca="false">L18+L20+L21</f>
        <v>6407.797</v>
      </c>
    </row>
    <row r="23" customFormat="false" ht="13.8" hidden="false" customHeight="false" outlineLevel="0" collapsed="false">
      <c r="A23" s="6"/>
      <c r="B23" s="57"/>
      <c r="C23" s="7"/>
      <c r="D23" s="8"/>
      <c r="E23" s="6"/>
      <c r="F23" s="9"/>
      <c r="G23" s="6"/>
      <c r="H23" s="6"/>
      <c r="K23" s="48"/>
    </row>
    <row r="24" customFormat="false" ht="35.55" hidden="false" customHeight="true" outlineLevel="0" collapsed="false">
      <c r="A24" s="6"/>
      <c r="B24" s="58" t="s">
        <v>24</v>
      </c>
      <c r="C24" s="59" t="s">
        <v>25</v>
      </c>
      <c r="D24" s="37" t="n">
        <v>20.16</v>
      </c>
      <c r="E24" s="21"/>
      <c r="F24" s="22" t="n">
        <f aca="false">ROUND(+1.21*D24,2)</f>
        <v>24.39</v>
      </c>
      <c r="G24" s="6"/>
      <c r="H24" s="6"/>
      <c r="I24" s="23" t="n">
        <v>32</v>
      </c>
      <c r="J24" s="23"/>
      <c r="K24" s="24" t="n">
        <f aca="false">D24*I24</f>
        <v>645.12</v>
      </c>
      <c r="L24" s="25" t="n">
        <f aca="false">K24*1.21</f>
        <v>780.5952</v>
      </c>
    </row>
    <row r="25" customFormat="false" ht="13.8" hidden="false" customHeight="false" outlineLevel="0" collapsed="false">
      <c r="A25" s="6"/>
      <c r="B25" s="6"/>
      <c r="C25" s="7"/>
      <c r="D25" s="8"/>
      <c r="E25" s="6"/>
      <c r="F25" s="9"/>
      <c r="G25" s="6"/>
      <c r="H25" s="6"/>
      <c r="I25" s="46"/>
      <c r="J25" s="46"/>
      <c r="K25" s="47" t="n">
        <f aca="false">SUM(K24:K24)</f>
        <v>645.12</v>
      </c>
      <c r="L25" s="47" t="n">
        <f aca="false">SUM(L24:L24)</f>
        <v>780.5952</v>
      </c>
    </row>
    <row r="26" customFormat="false" ht="13.8" hidden="false" customHeight="false" outlineLevel="0" collapsed="false">
      <c r="A26" s="6"/>
      <c r="B26" s="6"/>
      <c r="C26" s="7"/>
      <c r="D26" s="8"/>
      <c r="E26" s="6"/>
      <c r="F26" s="9"/>
      <c r="G26" s="6"/>
      <c r="H26" s="6"/>
      <c r="K26" s="48"/>
    </row>
    <row r="27" customFormat="false" ht="24.75" hidden="false" customHeight="true" outlineLevel="0" collapsed="false">
      <c r="A27" s="6"/>
      <c r="B27" s="58" t="s">
        <v>26</v>
      </c>
      <c r="C27" s="60" t="s">
        <v>27</v>
      </c>
      <c r="D27" s="39" t="n">
        <f aca="false">62.1</f>
        <v>62.1</v>
      </c>
      <c r="E27" s="61"/>
      <c r="F27" s="22" t="n">
        <f aca="false">ROUND(+1.21*D27,2)</f>
        <v>75.14</v>
      </c>
      <c r="G27" s="62"/>
      <c r="H27" s="6"/>
      <c r="I27" s="23" t="n">
        <v>117</v>
      </c>
      <c r="J27" s="23"/>
      <c r="K27" s="24" t="n">
        <f aca="false">D27*I27</f>
        <v>7265.7</v>
      </c>
      <c r="L27" s="25" t="n">
        <f aca="false">K27*1.21</f>
        <v>8791.497</v>
      </c>
    </row>
    <row r="28" customFormat="false" ht="13.8" hidden="false" customHeight="false" outlineLevel="0" collapsed="false">
      <c r="A28" s="6"/>
      <c r="B28" s="6"/>
      <c r="C28" s="7"/>
      <c r="D28" s="8"/>
      <c r="E28" s="6"/>
      <c r="F28" s="9"/>
      <c r="G28" s="62"/>
      <c r="H28" s="6"/>
      <c r="I28" s="46"/>
      <c r="J28" s="46"/>
      <c r="K28" s="47" t="n">
        <f aca="false">SUM(K27:K27)</f>
        <v>7265.7</v>
      </c>
      <c r="L28" s="47" t="n">
        <f aca="false">L27</f>
        <v>8791.497</v>
      </c>
    </row>
    <row r="29" customFormat="false" ht="13.8" hidden="false" customHeight="false" outlineLevel="0" collapsed="false">
      <c r="A29" s="6"/>
      <c r="B29" s="6"/>
      <c r="C29" s="7"/>
      <c r="D29" s="8"/>
      <c r="E29" s="6"/>
      <c r="F29" s="9"/>
      <c r="G29" s="62"/>
      <c r="H29" s="6"/>
      <c r="K29" s="48"/>
    </row>
    <row r="30" customFormat="false" ht="24.75" hidden="false" customHeight="true" outlineLevel="0" collapsed="false">
      <c r="A30" s="6"/>
      <c r="B30" s="58" t="s">
        <v>28</v>
      </c>
      <c r="C30" s="59" t="s">
        <v>25</v>
      </c>
      <c r="D30" s="37" t="n">
        <f aca="false">(300+180)*1.05</f>
        <v>504</v>
      </c>
      <c r="E30" s="21"/>
      <c r="F30" s="22" t="n">
        <f aca="false">ROUND(+1.21*D30,2)</f>
        <v>609.84</v>
      </c>
      <c r="G30" s="62"/>
      <c r="H30" s="6"/>
      <c r="I30" s="23" t="n">
        <v>1</v>
      </c>
      <c r="J30" s="23"/>
      <c r="K30" s="24" t="n">
        <f aca="false">I30*D30</f>
        <v>504</v>
      </c>
      <c r="L30" s="25" t="n">
        <f aca="false">K30*1.21</f>
        <v>609.84</v>
      </c>
    </row>
    <row r="31" customFormat="false" ht="24.75" hidden="false" customHeight="true" outlineLevel="0" collapsed="false">
      <c r="A31" s="6"/>
      <c r="B31" s="57"/>
      <c r="C31" s="63"/>
      <c r="D31" s="64"/>
      <c r="E31" s="65"/>
      <c r="F31" s="66"/>
      <c r="I31" s="67"/>
      <c r="J31" s="67"/>
      <c r="K31" s="68" t="n">
        <f aca="false">K30</f>
        <v>504</v>
      </c>
      <c r="L31" s="68" t="n">
        <f aca="false">L30</f>
        <v>609.84</v>
      </c>
    </row>
    <row r="32" customFormat="false" ht="13.85" hidden="false" customHeight="true" outlineLevel="0" collapsed="false">
      <c r="A32" s="6"/>
      <c r="B32" s="57"/>
      <c r="C32" s="63"/>
      <c r="D32" s="64"/>
      <c r="E32" s="65"/>
      <c r="F32" s="66"/>
      <c r="I32" s="67"/>
      <c r="J32" s="67"/>
      <c r="K32" s="68"/>
    </row>
    <row r="33" customFormat="false" ht="13.8" hidden="false" customHeight="false" outlineLevel="0" collapsed="false">
      <c r="A33" s="6"/>
      <c r="B33" s="6"/>
      <c r="C33" s="7"/>
      <c r="D33" s="8"/>
      <c r="E33" s="6"/>
      <c r="F33" s="9"/>
      <c r="G33" s="62"/>
      <c r="H33" s="6"/>
      <c r="I33" s="46"/>
      <c r="J33" s="23" t="s">
        <v>29</v>
      </c>
      <c r="K33" s="69" t="n">
        <f aca="false">SUM(K15+K22+K25+K28+K31)</f>
        <v>21812.3188</v>
      </c>
      <c r="L33" s="69" t="n">
        <f aca="false">L15+L22+L25+L28+L31</f>
        <v>26392.905748</v>
      </c>
    </row>
    <row r="34" customFormat="false" ht="13.8" hidden="false" customHeight="false" outlineLevel="0" collapsed="false">
      <c r="A34" s="6"/>
      <c r="B34" s="6"/>
      <c r="C34" s="7"/>
      <c r="D34" s="8"/>
      <c r="E34" s="6"/>
      <c r="F34" s="9"/>
      <c r="G34" s="62"/>
      <c r="H34" s="6"/>
      <c r="K34" s="48"/>
    </row>
    <row r="35" customFormat="false" ht="13.8" hidden="false" customHeight="false" outlineLevel="0" collapsed="false">
      <c r="A35" s="6"/>
      <c r="B35" s="6"/>
      <c r="C35" s="7"/>
      <c r="D35" s="8"/>
      <c r="E35" s="6"/>
      <c r="F35" s="9"/>
      <c r="G35" s="62"/>
      <c r="H35" s="6"/>
      <c r="K35" s="48"/>
    </row>
    <row r="36" customFormat="false" ht="13.8" hidden="false" customHeight="false" outlineLevel="0" collapsed="false">
      <c r="A36" s="6"/>
      <c r="B36" s="6"/>
      <c r="C36" s="7"/>
      <c r="D36" s="8"/>
      <c r="E36" s="6"/>
      <c r="F36" s="9"/>
      <c r="G36" s="62"/>
      <c r="H36" s="6"/>
      <c r="K36" s="48"/>
    </row>
    <row r="37" customFormat="false" ht="13.8" hidden="false" customHeight="false" outlineLevel="0" collapsed="false">
      <c r="A37" s="6"/>
      <c r="B37" s="6"/>
      <c r="C37" s="7"/>
      <c r="D37" s="8"/>
      <c r="E37" s="6"/>
      <c r="F37" s="9"/>
      <c r="G37" s="62"/>
      <c r="H37" s="6"/>
    </row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16">
    <mergeCell ref="D2:F2"/>
    <mergeCell ref="B3:C3"/>
    <mergeCell ref="B5:B7"/>
    <mergeCell ref="B8:B10"/>
    <mergeCell ref="B11:B13"/>
    <mergeCell ref="B17:C17"/>
    <mergeCell ref="B18:B19"/>
    <mergeCell ref="C18:C19"/>
    <mergeCell ref="D18:D19"/>
    <mergeCell ref="E18:E19"/>
    <mergeCell ref="F18:F19"/>
    <mergeCell ref="I18:I19"/>
    <mergeCell ref="J18:J19"/>
    <mergeCell ref="K18:K19"/>
    <mergeCell ref="L18:L19"/>
    <mergeCell ref="B20:B21"/>
  </mergeCells>
  <printOptions headings="false" gridLines="false" gridLinesSet="true" horizontalCentered="false" verticalCentered="false"/>
  <pageMargins left="0.236111111111111" right="0.236111111111111" top="0.747916666666667" bottom="0.747916666666667" header="0.511811023622047" footer="0.511811023622047"/>
  <pageSetup paperSize="9" scale="88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A5A5A5"/>
    <pageSetUpPr fitToPage="false"/>
  </sheetPr>
  <dimension ref="A1:AW64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pane xSplit="3" ySplit="4" topLeftCell="AL35" activePane="bottomRight" state="frozen"/>
      <selection pane="topLeft" activeCell="A1" activeCellId="0" sqref="A1"/>
      <selection pane="topRight" activeCell="AL1" activeCellId="0" sqref="AL1"/>
      <selection pane="bottomLeft" activeCell="A35" activeCellId="0" sqref="A35"/>
      <selection pane="bottomRight" activeCell="AO38" activeCellId="0" sqref="AO38"/>
    </sheetView>
  </sheetViews>
  <sheetFormatPr defaultColWidth="10.78515625" defaultRowHeight="12.8" zeroHeight="false" outlineLevelRow="0" outlineLevelCol="0"/>
  <cols>
    <col collapsed="false" customWidth="true" hidden="true" outlineLevel="0" max="1" min="1" style="1" width="2"/>
    <col collapsed="false" customWidth="true" hidden="false" outlineLevel="0" max="2" min="2" style="1" width="10.99"/>
    <col collapsed="false" customWidth="true" hidden="false" outlineLevel="0" max="3" min="3" style="1" width="37.11"/>
    <col collapsed="false" customWidth="true" hidden="false" outlineLevel="0" max="4" min="4" style="4" width="1.11"/>
    <col collapsed="false" customWidth="true" hidden="false" outlineLevel="0" max="5" min="5" style="1" width="7.43"/>
    <col collapsed="false" customWidth="true" hidden="false" outlineLevel="0" max="6" min="6" style="1" width="9.38"/>
    <col collapsed="false" customWidth="true" hidden="false" outlineLevel="0" max="7" min="7" style="1" width="15.52"/>
    <col collapsed="false" customWidth="true" hidden="false" outlineLevel="0" max="8" min="8" style="1" width="8.73"/>
    <col collapsed="false" customWidth="true" hidden="false" outlineLevel="0" max="9" min="9" style="1" width="9.7"/>
    <col collapsed="false" customWidth="true" hidden="false" outlineLevel="0" max="10" min="10" style="1" width="9.06"/>
    <col collapsed="false" customWidth="true" hidden="false" outlineLevel="0" max="11" min="11" style="1" width="7.27"/>
    <col collapsed="false" customWidth="true" hidden="false" outlineLevel="0" max="12" min="12" style="1" width="9.7"/>
    <col collapsed="false" customWidth="true" hidden="false" outlineLevel="0" max="13" min="13" style="1" width="7.43"/>
    <col collapsed="false" customWidth="true" hidden="false" outlineLevel="0" max="14" min="14" style="1" width="10.66"/>
    <col collapsed="false" customWidth="true" hidden="false" outlineLevel="0" max="15" min="15" style="1" width="17.12"/>
    <col collapsed="false" customWidth="true" hidden="false" outlineLevel="0" max="16" min="16" style="1" width="9.21"/>
    <col collapsed="false" customWidth="true" hidden="false" outlineLevel="0" max="17" min="17" style="1" width="8.08"/>
    <col collapsed="false" customWidth="false" hidden="false" outlineLevel="0" max="19" min="18" style="1" width="10.78"/>
    <col collapsed="false" customWidth="true" hidden="false" outlineLevel="0" max="20" min="20" style="1" width="9.06"/>
    <col collapsed="false" customWidth="true" hidden="false" outlineLevel="0" max="21" min="21" style="1" width="7.43"/>
    <col collapsed="false" customWidth="true" hidden="false" outlineLevel="0" max="22" min="22" style="1" width="9.21"/>
    <col collapsed="false" customWidth="true" hidden="false" outlineLevel="0" max="23" min="23" style="1" width="7.11"/>
    <col collapsed="false" customWidth="true" hidden="false" outlineLevel="0" max="24" min="24" style="1" width="14.67"/>
    <col collapsed="false" customWidth="true" hidden="false" outlineLevel="0" max="25" min="25" style="1" width="7.76"/>
    <col collapsed="false" customWidth="true" hidden="false" outlineLevel="0" max="26" min="26" style="1" width="7.92"/>
    <col collapsed="false" customWidth="true" hidden="false" outlineLevel="0" max="27" min="27" style="1" width="8.73"/>
    <col collapsed="false" customWidth="true" hidden="false" outlineLevel="0" max="28" min="28" style="1" width="8.24"/>
    <col collapsed="false" customWidth="true" hidden="false" outlineLevel="0" max="29" min="29" style="1" width="7.57"/>
    <col collapsed="false" customWidth="true" hidden="false" outlineLevel="0" max="30" min="30" style="1" width="18.36"/>
    <col collapsed="false" customWidth="true" hidden="false" outlineLevel="0" max="31" min="31" style="1" width="5.52"/>
    <col collapsed="false" customWidth="true" hidden="false" outlineLevel="0" max="32" min="32" style="1" width="11.31"/>
    <col collapsed="false" customWidth="true" hidden="false" outlineLevel="0" max="33" min="33" style="1" width="7.92"/>
    <col collapsed="false" customWidth="true" hidden="false" outlineLevel="0" max="34" min="34" style="1" width="9.06"/>
    <col collapsed="false" customWidth="true" hidden="false" outlineLevel="0" max="35" min="35" style="1" width="10.51"/>
    <col collapsed="false" customWidth="true" hidden="false" outlineLevel="0" max="36" min="36" style="1" width="7.76"/>
    <col collapsed="false" customWidth="true" hidden="false" outlineLevel="0" max="38" min="37" style="1" width="1.61"/>
    <col collapsed="false" customWidth="true" hidden="false" outlineLevel="0" max="39" min="39" style="1" width="9.54"/>
    <col collapsed="false" customWidth="true" hidden="false" outlineLevel="0" max="40" min="40" style="1" width="10.19"/>
    <col collapsed="false" customWidth="true" hidden="false" outlineLevel="0" max="41" min="41" style="1" width="9.86"/>
    <col collapsed="false" customWidth="true" hidden="false" outlineLevel="0" max="42" min="42" style="4" width="11.96"/>
    <col collapsed="false" customWidth="true" hidden="false" outlineLevel="0" max="44" min="43" style="1" width="9.21"/>
    <col collapsed="false" customWidth="true" hidden="false" outlineLevel="0" max="45" min="45" style="1" width="9.86"/>
    <col collapsed="false" customWidth="true" hidden="false" outlineLevel="0" max="46" min="46" style="1" width="2.11"/>
    <col collapsed="false" customWidth="false" hidden="false" outlineLevel="0" max="16384" min="47" style="1" width="10.78"/>
  </cols>
  <sheetData>
    <row r="1" customFormat="false" ht="60.75" hidden="false" customHeight="true" outlineLevel="0" collapsed="false">
      <c r="A1" s="6"/>
      <c r="B1" s="70"/>
      <c r="C1" s="6"/>
      <c r="D1" s="9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9"/>
      <c r="AQ1" s="6"/>
      <c r="AR1" s="6"/>
      <c r="AS1" s="6"/>
      <c r="AT1" s="6"/>
      <c r="AU1" s="6"/>
      <c r="AV1" s="6"/>
    </row>
    <row r="2" s="87" customFormat="true" ht="45" hidden="false" customHeight="true" outlineLevel="0" collapsed="false">
      <c r="A2" s="71"/>
      <c r="B2" s="72" t="s">
        <v>30</v>
      </c>
      <c r="C2" s="73"/>
      <c r="D2" s="74"/>
      <c r="E2" s="75" t="s">
        <v>31</v>
      </c>
      <c r="F2" s="75"/>
      <c r="G2" s="75"/>
      <c r="H2" s="75"/>
      <c r="I2" s="75"/>
      <c r="J2" s="75"/>
      <c r="K2" s="76" t="s">
        <v>32</v>
      </c>
      <c r="L2" s="76"/>
      <c r="M2" s="76"/>
      <c r="N2" s="76"/>
      <c r="O2" s="76"/>
      <c r="P2" s="76"/>
      <c r="Q2" s="76"/>
      <c r="R2" s="76"/>
      <c r="S2" s="76"/>
      <c r="T2" s="76"/>
      <c r="U2" s="77" t="s">
        <v>33</v>
      </c>
      <c r="V2" s="77"/>
      <c r="W2" s="77"/>
      <c r="X2" s="78"/>
      <c r="Y2" s="79"/>
      <c r="Z2" s="79"/>
      <c r="AA2" s="79"/>
      <c r="AB2" s="79"/>
      <c r="AC2" s="80" t="s">
        <v>34</v>
      </c>
      <c r="AD2" s="80"/>
      <c r="AE2" s="81"/>
      <c r="AF2" s="81"/>
      <c r="AG2" s="82"/>
      <c r="AH2" s="82"/>
      <c r="AI2" s="82"/>
      <c r="AJ2" s="83"/>
      <c r="AK2" s="84"/>
      <c r="AL2" s="84"/>
      <c r="AM2" s="85" t="s">
        <v>35</v>
      </c>
      <c r="AN2" s="85"/>
      <c r="AO2" s="85"/>
      <c r="AP2" s="86"/>
      <c r="AQ2" s="84"/>
      <c r="AR2" s="85" t="s">
        <v>36</v>
      </c>
      <c r="AS2" s="85"/>
      <c r="AT2" s="84"/>
      <c r="AU2" s="86"/>
      <c r="AV2" s="84"/>
      <c r="AW2" s="84"/>
    </row>
    <row r="3" s="87" customFormat="true" ht="43.5" hidden="false" customHeight="true" outlineLevel="0" collapsed="false">
      <c r="A3" s="71"/>
      <c r="B3" s="88" t="s">
        <v>37</v>
      </c>
      <c r="C3" s="89" t="s">
        <v>38</v>
      </c>
      <c r="D3" s="74"/>
      <c r="E3" s="90" t="s">
        <v>3</v>
      </c>
      <c r="F3" s="90" t="s">
        <v>39</v>
      </c>
      <c r="G3" s="90" t="s">
        <v>26</v>
      </c>
      <c r="H3" s="90" t="s">
        <v>40</v>
      </c>
      <c r="I3" s="90" t="s">
        <v>26</v>
      </c>
      <c r="J3" s="90" t="s">
        <v>40</v>
      </c>
      <c r="K3" s="90" t="s">
        <v>3</v>
      </c>
      <c r="L3" s="90" t="s">
        <v>39</v>
      </c>
      <c r="M3" s="90" t="s">
        <v>41</v>
      </c>
      <c r="N3" s="90" t="s">
        <v>42</v>
      </c>
      <c r="O3" s="90" t="s">
        <v>26</v>
      </c>
      <c r="P3" s="90" t="s">
        <v>40</v>
      </c>
      <c r="Q3" s="90" t="s">
        <v>43</v>
      </c>
      <c r="R3" s="90" t="s">
        <v>42</v>
      </c>
      <c r="S3" s="90" t="s">
        <v>26</v>
      </c>
      <c r="T3" s="90" t="s">
        <v>40</v>
      </c>
      <c r="U3" s="90" t="s">
        <v>3</v>
      </c>
      <c r="V3" s="90" t="s">
        <v>39</v>
      </c>
      <c r="W3" s="90" t="s">
        <v>41</v>
      </c>
      <c r="X3" s="90" t="s">
        <v>26</v>
      </c>
      <c r="Y3" s="90" t="s">
        <v>40</v>
      </c>
      <c r="Z3" s="90" t="s">
        <v>43</v>
      </c>
      <c r="AA3" s="90" t="s">
        <v>26</v>
      </c>
      <c r="AB3" s="90" t="s">
        <v>40</v>
      </c>
      <c r="AC3" s="90" t="s">
        <v>3</v>
      </c>
      <c r="AD3" s="90" t="s">
        <v>39</v>
      </c>
      <c r="AE3" s="90" t="s">
        <v>41</v>
      </c>
      <c r="AF3" s="90" t="s">
        <v>26</v>
      </c>
      <c r="AG3" s="90" t="s">
        <v>40</v>
      </c>
      <c r="AH3" s="90" t="s">
        <v>43</v>
      </c>
      <c r="AI3" s="90" t="s">
        <v>26</v>
      </c>
      <c r="AJ3" s="91" t="s">
        <v>40</v>
      </c>
      <c r="AK3" s="84"/>
      <c r="AL3" s="84"/>
      <c r="AM3" s="90" t="s">
        <v>44</v>
      </c>
      <c r="AN3" s="92" t="s">
        <v>26</v>
      </c>
      <c r="AO3" s="93" t="s">
        <v>29</v>
      </c>
      <c r="AP3" s="94" t="s">
        <v>45</v>
      </c>
      <c r="AQ3" s="84"/>
      <c r="AR3" s="90" t="s">
        <v>44</v>
      </c>
      <c r="AS3" s="93" t="s">
        <v>26</v>
      </c>
      <c r="AT3" s="84"/>
      <c r="AU3" s="84"/>
      <c r="AV3" s="84"/>
      <c r="AW3" s="84"/>
    </row>
    <row r="4" s="87" customFormat="true" ht="18.75" hidden="false" customHeight="true" outlineLevel="0" collapsed="false">
      <c r="A4" s="71"/>
      <c r="B4" s="95"/>
      <c r="C4" s="96"/>
      <c r="D4" s="74"/>
      <c r="E4" s="90"/>
      <c r="F4" s="90"/>
      <c r="G4" s="90"/>
      <c r="H4" s="90"/>
      <c r="I4" s="90"/>
      <c r="J4" s="90"/>
      <c r="K4" s="90"/>
      <c r="L4" s="90"/>
      <c r="M4" s="90"/>
      <c r="N4" s="90"/>
      <c r="O4" s="90"/>
      <c r="P4" s="90"/>
      <c r="Q4" s="90"/>
      <c r="R4" s="90"/>
      <c r="S4" s="90"/>
      <c r="T4" s="90"/>
      <c r="U4" s="90"/>
      <c r="V4" s="90"/>
      <c r="W4" s="90"/>
      <c r="X4" s="90"/>
      <c r="Y4" s="90"/>
      <c r="Z4" s="90"/>
      <c r="AA4" s="90"/>
      <c r="AB4" s="90"/>
      <c r="AC4" s="90"/>
      <c r="AD4" s="90"/>
      <c r="AE4" s="90"/>
      <c r="AF4" s="90"/>
      <c r="AG4" s="90"/>
      <c r="AH4" s="90"/>
      <c r="AI4" s="90"/>
      <c r="AJ4" s="91"/>
      <c r="AK4" s="84"/>
      <c r="AL4" s="84"/>
      <c r="AM4" s="90"/>
      <c r="AN4" s="92"/>
      <c r="AO4" s="93"/>
      <c r="AP4" s="94"/>
      <c r="AQ4" s="84"/>
      <c r="AR4" s="90"/>
      <c r="AS4" s="93"/>
      <c r="AT4" s="84"/>
      <c r="AU4" s="84"/>
      <c r="AV4" s="84"/>
      <c r="AW4" s="84"/>
    </row>
    <row r="5" customFormat="false" ht="24.75" hidden="false" customHeight="true" outlineLevel="0" collapsed="false">
      <c r="A5" s="6"/>
      <c r="B5" s="97" t="s">
        <v>46</v>
      </c>
      <c r="C5" s="98" t="s">
        <v>47</v>
      </c>
      <c r="D5" s="86"/>
      <c r="E5" s="99"/>
      <c r="F5" s="100"/>
      <c r="G5" s="100"/>
      <c r="H5" s="100" t="n">
        <f aca="false">IFERROR(VLOOKUP(F5,'PREUS BASE MÒDULS'!$C$5:$D$7,2,FALSE())*E5,0)</f>
        <v>0</v>
      </c>
      <c r="I5" s="100" t="n">
        <f aca="false">IFERROR((VLOOKUP(G5,'PREUS BASE MÒDULS'!$C$27:$D$27,2,FALSE())*E5),0)</f>
        <v>0</v>
      </c>
      <c r="J5" s="101" t="n">
        <f aca="false">IFERROR(+H5+I5,0)</f>
        <v>0</v>
      </c>
      <c r="K5" s="99" t="n">
        <v>2</v>
      </c>
      <c r="L5" s="100" t="s">
        <v>12</v>
      </c>
      <c r="M5" s="102" t="s">
        <v>25</v>
      </c>
      <c r="N5" s="102" t="s">
        <v>48</v>
      </c>
      <c r="O5" s="102" t="s">
        <v>27</v>
      </c>
      <c r="P5" s="100" t="n">
        <f aca="false">IFERROR(VLOOKUP(L5,'PREUS BASE MÒDULS'!$C$8:$D$10,2,FALSE())*K5,0)</f>
        <v>202.272</v>
      </c>
      <c r="Q5" s="100" t="n">
        <f aca="false">IFERROR(VLOOKUP(M5,'PREUS BASE MÒDULS'!$C$24:$D$24,2,FALSE())*K5,0)</f>
        <v>40.32</v>
      </c>
      <c r="R5" s="100" t="n">
        <f aca="false">IFERROR(VLOOKUP(N5,'PREUS BASE MÒDULS'!$C$30:$D$30,2,FALSE()),0)</f>
        <v>0</v>
      </c>
      <c r="S5" s="100" t="n">
        <f aca="false">IFERROR((VLOOKUP(O5,'PREUS BASE MÒDULS'!$C$27:$D$27,2,FALSE())*K5),0)*2</f>
        <v>248.4</v>
      </c>
      <c r="T5" s="101" t="n">
        <f aca="false">IFERROR(+P5+Q5+S5+R5,0)</f>
        <v>490.992</v>
      </c>
      <c r="U5" s="99"/>
      <c r="V5" s="100"/>
      <c r="W5" s="102"/>
      <c r="X5" s="102"/>
      <c r="Y5" s="100" t="n">
        <f aca="false">IFERROR(VLOOKUP(V5,'PREUS BASE MÒDULS'!$C$11:$D$13,2,FALSE())*U5,0)</f>
        <v>0</v>
      </c>
      <c r="Z5" s="100" t="n">
        <f aca="false">IFERROR(VLOOKUP(W5,'PREUS BASE MÒDULS'!$C$24:$D$24,2,FALSE())*U5,0)</f>
        <v>0</v>
      </c>
      <c r="AA5" s="100" t="n">
        <f aca="false">IFERROR((VLOOKUP(X5,'PREUS BASE MÒDULS'!$C$27:$D$27,2,FALSE())*U5),0)*2</f>
        <v>0</v>
      </c>
      <c r="AB5" s="101" t="n">
        <f aca="false">IFERROR(+Y5+Z5+AA5,0)</f>
        <v>0</v>
      </c>
      <c r="AC5" s="99"/>
      <c r="AD5" s="100"/>
      <c r="AE5" s="102"/>
      <c r="AF5" s="102"/>
      <c r="AG5" s="100" t="n">
        <f aca="false">IFERROR(VLOOKUP(AD5,'PREUS BASE MÒDULS'!$C$14:$D$14,2,FALSE()),0)</f>
        <v>0</v>
      </c>
      <c r="AH5" s="100" t="n">
        <f aca="false">IFERROR(VLOOKUP(AE5,'PREUS BASE MÒDULS'!$C$24:$D$24,2,FALSE())*AC5,0)</f>
        <v>0</v>
      </c>
      <c r="AI5" s="100" t="n">
        <f aca="false">IFERROR((VLOOKUP(AF5,'PREUS BASE MÒDULS'!$C$27:$D$27,2,FALSE())*AC5),0)</f>
        <v>0</v>
      </c>
      <c r="AJ5" s="103" t="n">
        <f aca="false">IFERROR(+AG5+AH5+AI5,0)</f>
        <v>0</v>
      </c>
      <c r="AK5" s="104"/>
      <c r="AL5" s="104"/>
      <c r="AM5" s="100" t="n">
        <f aca="false">ROUND((+AH5+AG5+Z5+Y5+Q5+P5+H5+R5),5)</f>
        <v>242.592</v>
      </c>
      <c r="AN5" s="105" t="n">
        <f aca="false">ROUND((+AI5+AA5+S5+I5),5)</f>
        <v>248.4</v>
      </c>
      <c r="AO5" s="106" t="n">
        <f aca="false">ROUND((+AN5+AM5),7)</f>
        <v>490.992</v>
      </c>
      <c r="AP5" s="107" t="n">
        <f aca="false">AO5*1.21</f>
        <v>594.10032</v>
      </c>
      <c r="AQ5" s="104"/>
      <c r="AR5" s="108" t="n">
        <f aca="false">IFERROR(AM5/AO5,"")</f>
        <v>0.494085443347346</v>
      </c>
      <c r="AS5" s="109" t="n">
        <f aca="false">IFERROR(AN5/AO5,"")</f>
        <v>0.505914556652654</v>
      </c>
      <c r="AT5" s="6"/>
      <c r="AU5" s="6"/>
      <c r="AV5" s="6"/>
      <c r="AW5" s="6"/>
    </row>
    <row r="6" customFormat="false" ht="24.75" hidden="false" customHeight="true" outlineLevel="0" collapsed="false">
      <c r="A6" s="6"/>
      <c r="B6" s="97" t="s">
        <v>46</v>
      </c>
      <c r="C6" s="110" t="s">
        <v>49</v>
      </c>
      <c r="D6" s="86"/>
      <c r="E6" s="99" t="n">
        <v>1</v>
      </c>
      <c r="F6" s="100" t="s">
        <v>8</v>
      </c>
      <c r="G6" s="100" t="s">
        <v>27</v>
      </c>
      <c r="H6" s="100" t="n">
        <f aca="false">IFERROR(VLOOKUP(F6,'PREUS BASE MÒDULS'!$C$5:$D$7,2,FALSE())*E6,0)</f>
        <v>113.5344</v>
      </c>
      <c r="I6" s="100" t="n">
        <f aca="false">IFERROR((VLOOKUP(G6,'PREUS BASE MÒDULS'!$C$27:$D$27,2,FALSE())*E6),0)*2</f>
        <v>124.2</v>
      </c>
      <c r="J6" s="101" t="n">
        <f aca="false">IFERROR(+H6+I6,0)</f>
        <v>237.7344</v>
      </c>
      <c r="K6" s="99" t="n">
        <v>3</v>
      </c>
      <c r="L6" s="100" t="s">
        <v>12</v>
      </c>
      <c r="M6" s="102" t="s">
        <v>25</v>
      </c>
      <c r="N6" s="102" t="s">
        <v>48</v>
      </c>
      <c r="O6" s="102" t="s">
        <v>27</v>
      </c>
      <c r="P6" s="100" t="n">
        <f aca="false">IFERROR(VLOOKUP(L6,'PREUS BASE MÒDULS'!$C$8:$D$10,2,FALSE())*K6,0)</f>
        <v>303.408</v>
      </c>
      <c r="Q6" s="100" t="n">
        <f aca="false">IFERROR(VLOOKUP(M6,'PREUS BASE MÒDULS'!$C$24:$D$24,2,FALSE())*K6,0)</f>
        <v>60.48</v>
      </c>
      <c r="R6" s="100" t="n">
        <f aca="false">IFERROR(VLOOKUP(N6,'PREUS BASE MÒDULS'!$C$30:$F$30,4,FALSE()),0)</f>
        <v>0</v>
      </c>
      <c r="S6" s="100" t="n">
        <f aca="false">IFERROR((VLOOKUP(O6,'PREUS BASE MÒDULS'!$C$27:$D$27,2,FALSE())*K6),0)*2</f>
        <v>372.6</v>
      </c>
      <c r="T6" s="101" t="n">
        <f aca="false">IFERROR(+P6+Q6+S6+R6,0)</f>
        <v>736.488</v>
      </c>
      <c r="U6" s="99"/>
      <c r="V6" s="100"/>
      <c r="W6" s="102"/>
      <c r="X6" s="102"/>
      <c r="Y6" s="100" t="n">
        <f aca="false">IFERROR(VLOOKUP(V6,'PREUS BASE MÒDULS'!$C$11:$D$13,2,FALSE())*U6,0)</f>
        <v>0</v>
      </c>
      <c r="Z6" s="100" t="n">
        <f aca="false">IFERROR(VLOOKUP(W6,'PREUS BASE MÒDULS'!$C$24:$D$24,2,FALSE())*U6,0)</f>
        <v>0</v>
      </c>
      <c r="AA6" s="100" t="n">
        <f aca="false">IFERROR((VLOOKUP(X6,'PREUS BASE MÒDULS'!$C$27:$D$27,2,FALSE())*U6),0)*2</f>
        <v>0</v>
      </c>
      <c r="AB6" s="101" t="n">
        <f aca="false">IFERROR(+Y6+Z6+AA6,0)</f>
        <v>0</v>
      </c>
      <c r="AC6" s="99"/>
      <c r="AD6" s="100"/>
      <c r="AE6" s="102"/>
      <c r="AF6" s="102"/>
      <c r="AG6" s="100" t="n">
        <f aca="false">IFERROR(VLOOKUP(AD6,'PREUS BASE MÒDULS'!$C$14:$D$14,2,FALSE()),0)</f>
        <v>0</v>
      </c>
      <c r="AH6" s="100" t="n">
        <f aca="false">IFERROR(VLOOKUP(AE6,'PREUS BASE MÒDULS'!$C$24:$D$24,2,FALSE())*AC6,0)</f>
        <v>0</v>
      </c>
      <c r="AI6" s="100" t="n">
        <f aca="false">IFERROR((VLOOKUP(AF6,'PREUS BASE MÒDULS'!$C$27:$D$27,2,FALSE())*AC6),0)</f>
        <v>0</v>
      </c>
      <c r="AJ6" s="103" t="n">
        <f aca="false">IFERROR(+AG6+AH6+AI6,0)</f>
        <v>0</v>
      </c>
      <c r="AK6" s="104"/>
      <c r="AL6" s="104"/>
      <c r="AM6" s="100" t="n">
        <f aca="false">ROUND((+AH6+AG6+Z6+Y6+Q6+P6+H6+R6),2)</f>
        <v>477.42</v>
      </c>
      <c r="AN6" s="105" t="n">
        <f aca="false">ROUND((+AI6+AA6+S6+I6),5)</f>
        <v>496.8</v>
      </c>
      <c r="AO6" s="106" t="n">
        <f aca="false">ROUND((+AN6+AM6),7)</f>
        <v>974.22</v>
      </c>
      <c r="AP6" s="107" t="n">
        <f aca="false">AO6*1.21</f>
        <v>1178.8062</v>
      </c>
      <c r="AQ6" s="104"/>
      <c r="AR6" s="108" t="n">
        <f aca="false">IFERROR(AM6/AO6,"")</f>
        <v>0.4900535813266</v>
      </c>
      <c r="AS6" s="109" t="n">
        <f aca="false">IFERROR(AN6/AO6,"")</f>
        <v>0.5099464186734</v>
      </c>
      <c r="AT6" s="6"/>
      <c r="AU6" s="6"/>
      <c r="AV6" s="6"/>
      <c r="AW6" s="6"/>
    </row>
    <row r="7" customFormat="false" ht="24.75" hidden="false" customHeight="true" outlineLevel="0" collapsed="false">
      <c r="A7" s="6"/>
      <c r="B7" s="97" t="s">
        <v>46</v>
      </c>
      <c r="C7" s="111" t="s">
        <v>50</v>
      </c>
      <c r="D7" s="86"/>
      <c r="E7" s="99"/>
      <c r="F7" s="100"/>
      <c r="G7" s="100"/>
      <c r="H7" s="100" t="n">
        <f aca="false">IFERROR(VLOOKUP(F7,'PREUS BASE MÒDULS'!$C$5:$D$7,2,FALSE())*E7,0)</f>
        <v>0</v>
      </c>
      <c r="I7" s="100" t="n">
        <f aca="false">IFERROR((VLOOKUP(G7,'PREUS BASE MÒDULS'!$C$27:$D$27,2,FALSE())*E7),0)*2</f>
        <v>0</v>
      </c>
      <c r="J7" s="101" t="n">
        <f aca="false">IFERROR(+H7+I7,0)</f>
        <v>0</v>
      </c>
      <c r="K7" s="99" t="n">
        <v>2</v>
      </c>
      <c r="L7" s="100" t="s">
        <v>12</v>
      </c>
      <c r="M7" s="102" t="s">
        <v>25</v>
      </c>
      <c r="N7" s="102" t="s">
        <v>48</v>
      </c>
      <c r="O7" s="102" t="s">
        <v>27</v>
      </c>
      <c r="P7" s="100" t="n">
        <f aca="false">IFERROR(VLOOKUP(L7,'PREUS BASE MÒDULS'!$C$8:$D$10,2,FALSE())*K7,0)</f>
        <v>202.272</v>
      </c>
      <c r="Q7" s="100" t="n">
        <f aca="false">IFERROR(VLOOKUP(M7,'PREUS BASE MÒDULS'!$C$24:$D$24,2,FALSE())*K7,0)</f>
        <v>40.32</v>
      </c>
      <c r="R7" s="100" t="n">
        <f aca="false">IFERROR(VLOOKUP(N7,'PREUS BASE MÒDULS'!$C$30:$F$30,4,FALSE()),0)</f>
        <v>0</v>
      </c>
      <c r="S7" s="100" t="n">
        <f aca="false">IFERROR((VLOOKUP(O7,'PREUS BASE MÒDULS'!$C$27:$D$27,2,FALSE())*K7),0)*2</f>
        <v>248.4</v>
      </c>
      <c r="T7" s="101" t="n">
        <f aca="false">IFERROR(+P7+Q7+S7+R7,0)</f>
        <v>490.992</v>
      </c>
      <c r="U7" s="99"/>
      <c r="V7" s="100"/>
      <c r="W7" s="102"/>
      <c r="X7" s="102"/>
      <c r="Y7" s="100" t="n">
        <f aca="false">IFERROR(VLOOKUP(V7,'PREUS BASE MÒDULS'!$C$11:$D$13,2,FALSE())*U7,0)</f>
        <v>0</v>
      </c>
      <c r="Z7" s="100" t="n">
        <f aca="false">IFERROR(VLOOKUP(W7,'PREUS BASE MÒDULS'!$C$24:$D$24,2,FALSE())*U7,0)</f>
        <v>0</v>
      </c>
      <c r="AA7" s="100" t="n">
        <f aca="false">IFERROR((VLOOKUP(X7,'PREUS BASE MÒDULS'!$C$27:$D$27,2,FALSE())*U7),0)*2</f>
        <v>0</v>
      </c>
      <c r="AB7" s="101" t="n">
        <f aca="false">IFERROR(+Y7+Z7+AA7,0)</f>
        <v>0</v>
      </c>
      <c r="AC7" s="99"/>
      <c r="AD7" s="100"/>
      <c r="AE7" s="102"/>
      <c r="AF7" s="102"/>
      <c r="AG7" s="100" t="n">
        <f aca="false">IFERROR(VLOOKUP(AD7,'PREUS BASE MÒDULS'!$C$14:$D$14,2,FALSE()),0)</f>
        <v>0</v>
      </c>
      <c r="AH7" s="100" t="n">
        <f aca="false">IFERROR(VLOOKUP(AE7,'PREUS BASE MÒDULS'!$C$24:$D$24,2,FALSE())*AC7,0)</f>
        <v>0</v>
      </c>
      <c r="AI7" s="100" t="n">
        <f aca="false">IFERROR((VLOOKUP(AF7,'PREUS BASE MÒDULS'!$C$27:$D$27,2,FALSE())*AC7),0)</f>
        <v>0</v>
      </c>
      <c r="AJ7" s="103" t="n">
        <f aca="false">IFERROR(+AG7+AH7+AI7,0)</f>
        <v>0</v>
      </c>
      <c r="AK7" s="104"/>
      <c r="AL7" s="104"/>
      <c r="AM7" s="100" t="n">
        <f aca="false">ROUND((+AH7+AG7+Z7+Y7+Q7+P7+H7+R7),2)</f>
        <v>242.59</v>
      </c>
      <c r="AN7" s="105" t="n">
        <f aca="false">ROUND((+AI7+AA7+S7+I7),5)</f>
        <v>248.4</v>
      </c>
      <c r="AO7" s="106" t="n">
        <f aca="false">ROUND((+AN7+AM7),7)</f>
        <v>490.99</v>
      </c>
      <c r="AP7" s="107" t="n">
        <f aca="false">AO7*1.21</f>
        <v>594.0979</v>
      </c>
      <c r="AQ7" s="104"/>
      <c r="AR7" s="108" t="n">
        <f aca="false">IFERROR(AM7/AO7,"")</f>
        <v>0.494083382553616</v>
      </c>
      <c r="AS7" s="109" t="n">
        <f aca="false">IFERROR(AN7/AO7,"")</f>
        <v>0.505916617446384</v>
      </c>
      <c r="AT7" s="6"/>
      <c r="AU7" s="6"/>
      <c r="AV7" s="6"/>
      <c r="AW7" s="6"/>
    </row>
    <row r="8" customFormat="false" ht="24.75" hidden="false" customHeight="true" outlineLevel="0" collapsed="false">
      <c r="A8" s="6"/>
      <c r="B8" s="97" t="s">
        <v>46</v>
      </c>
      <c r="C8" s="111" t="s">
        <v>51</v>
      </c>
      <c r="D8" s="86"/>
      <c r="E8" s="99"/>
      <c r="F8" s="100"/>
      <c r="G8" s="100"/>
      <c r="H8" s="100" t="n">
        <f aca="false">IFERROR(VLOOKUP(F8,'PREUS BASE MÒDULS'!$C$5:$D$7,2,FALSE())*E8,0)</f>
        <v>0</v>
      </c>
      <c r="I8" s="100" t="n">
        <f aca="false">IFERROR((VLOOKUP(G8,'PREUS BASE MÒDULS'!$C$27:$D$27,2,FALSE())*E8),0)*2</f>
        <v>0</v>
      </c>
      <c r="J8" s="101" t="n">
        <f aca="false">IFERROR(+H8+I8,0)</f>
        <v>0</v>
      </c>
      <c r="K8" s="99" t="n">
        <v>2</v>
      </c>
      <c r="L8" s="100" t="s">
        <v>12</v>
      </c>
      <c r="M8" s="102" t="s">
        <v>25</v>
      </c>
      <c r="N8" s="102" t="s">
        <v>48</v>
      </c>
      <c r="O8" s="102" t="s">
        <v>27</v>
      </c>
      <c r="P8" s="100" t="n">
        <f aca="false">IFERROR(VLOOKUP(L8,'PREUS BASE MÒDULS'!$C$8:$D$10,2,FALSE())*K8,0)</f>
        <v>202.272</v>
      </c>
      <c r="Q8" s="100" t="n">
        <f aca="false">IFERROR(VLOOKUP(M8,'PREUS BASE MÒDULS'!$C$24:$D$24,2,FALSE())*K8,0)</f>
        <v>40.32</v>
      </c>
      <c r="R8" s="100" t="n">
        <f aca="false">IFERROR(VLOOKUP(N8,'PREUS BASE MÒDULS'!$C$30:$F$30,4,FALSE()),0)</f>
        <v>0</v>
      </c>
      <c r="S8" s="100" t="n">
        <f aca="false">IFERROR((VLOOKUP(O8,'PREUS BASE MÒDULS'!$C$27:$D$27,2,FALSE())*K8),0)*2</f>
        <v>248.4</v>
      </c>
      <c r="T8" s="101" t="n">
        <f aca="false">IFERROR(+P8+Q8+S8+R8,0)</f>
        <v>490.992</v>
      </c>
      <c r="U8" s="99"/>
      <c r="V8" s="100"/>
      <c r="W8" s="102"/>
      <c r="X8" s="102"/>
      <c r="Y8" s="100" t="n">
        <f aca="false">IFERROR(VLOOKUP(V8,'PREUS BASE MÒDULS'!$C$11:$D$13,2,FALSE())*U8,0)</f>
        <v>0</v>
      </c>
      <c r="Z8" s="100" t="n">
        <f aca="false">IFERROR(VLOOKUP(W8,'PREUS BASE MÒDULS'!$C$24:$D$24,2,FALSE())*U8,0)</f>
        <v>0</v>
      </c>
      <c r="AA8" s="100" t="n">
        <f aca="false">IFERROR((VLOOKUP(X8,'PREUS BASE MÒDULS'!$C$27:$D$27,2,FALSE())*U8),0)*2</f>
        <v>0</v>
      </c>
      <c r="AB8" s="101" t="n">
        <f aca="false">IFERROR(+Y8+Z8+AA8,0)</f>
        <v>0</v>
      </c>
      <c r="AC8" s="99"/>
      <c r="AD8" s="100"/>
      <c r="AE8" s="102"/>
      <c r="AF8" s="102"/>
      <c r="AG8" s="100" t="n">
        <f aca="false">IFERROR(VLOOKUP(AD8,'PREUS BASE MÒDULS'!$C$14:$D$14,2,FALSE()),0)</f>
        <v>0</v>
      </c>
      <c r="AH8" s="100" t="n">
        <f aca="false">IFERROR(VLOOKUP(AE8,'PREUS BASE MÒDULS'!$C$24:$D$24,2,FALSE())*AC8,0)</f>
        <v>0</v>
      </c>
      <c r="AI8" s="100" t="n">
        <f aca="false">IFERROR((VLOOKUP(AF8,'PREUS BASE MÒDULS'!$C$27:$D$27,2,FALSE())*AC8),0)</f>
        <v>0</v>
      </c>
      <c r="AJ8" s="103" t="n">
        <f aca="false">IFERROR(+AG8+AH8+AI8,0)</f>
        <v>0</v>
      </c>
      <c r="AK8" s="104"/>
      <c r="AL8" s="104"/>
      <c r="AM8" s="100" t="n">
        <f aca="false">ROUND((+AH8+AG8+Z8+Y8+Q8+P8+H8+R8),2)</f>
        <v>242.59</v>
      </c>
      <c r="AN8" s="105" t="n">
        <f aca="false">ROUND((+AI8+AA8+S8+I8),5)</f>
        <v>248.4</v>
      </c>
      <c r="AO8" s="106" t="n">
        <f aca="false">ROUND((+AN8+AM8),7)</f>
        <v>490.99</v>
      </c>
      <c r="AP8" s="107" t="n">
        <f aca="false">AO8*1.21</f>
        <v>594.0979</v>
      </c>
      <c r="AQ8" s="104"/>
      <c r="AR8" s="108" t="n">
        <f aca="false">IFERROR(AM8/AO8,"")</f>
        <v>0.494083382553616</v>
      </c>
      <c r="AS8" s="109" t="n">
        <f aca="false">IFERROR(AN8/AO8,"")</f>
        <v>0.505916617446384</v>
      </c>
      <c r="AT8" s="6"/>
      <c r="AU8" s="6"/>
      <c r="AV8" s="6"/>
      <c r="AW8" s="6"/>
    </row>
    <row r="9" customFormat="false" ht="24.75" hidden="false" customHeight="true" outlineLevel="0" collapsed="false">
      <c r="A9" s="6"/>
      <c r="B9" s="97" t="s">
        <v>46</v>
      </c>
      <c r="C9" s="111" t="s">
        <v>52</v>
      </c>
      <c r="D9" s="86"/>
      <c r="E9" s="99"/>
      <c r="F9" s="100"/>
      <c r="G9" s="100"/>
      <c r="H9" s="100" t="n">
        <f aca="false">IFERROR(VLOOKUP(F9,'PREUS BASE MÒDULS'!$C$5:$D$7,2,FALSE())*E9,0)</f>
        <v>0</v>
      </c>
      <c r="I9" s="100" t="n">
        <f aca="false">IFERROR((VLOOKUP(G9,'PREUS BASE MÒDULS'!$C$27:$D$27,2,FALSE())*E9),0)*2</f>
        <v>0</v>
      </c>
      <c r="J9" s="101" t="n">
        <f aca="false">IFERROR(+H9+I9,0)</f>
        <v>0</v>
      </c>
      <c r="K9" s="99" t="n">
        <v>1</v>
      </c>
      <c r="L9" s="100" t="s">
        <v>12</v>
      </c>
      <c r="M9" s="102" t="s">
        <v>25</v>
      </c>
      <c r="N9" s="102" t="s">
        <v>48</v>
      </c>
      <c r="O9" s="102" t="s">
        <v>27</v>
      </c>
      <c r="P9" s="100" t="n">
        <f aca="false">IFERROR(VLOOKUP(L9,'PREUS BASE MÒDULS'!$C$8:$D$10,2,FALSE())*K9,0)</f>
        <v>101.136</v>
      </c>
      <c r="Q9" s="100" t="n">
        <f aca="false">IFERROR(VLOOKUP(M9,'PREUS BASE MÒDULS'!$C$24:$D$24,2,FALSE())*K9,0)</f>
        <v>20.16</v>
      </c>
      <c r="R9" s="100" t="n">
        <f aca="false">IFERROR(VLOOKUP(N9,'PREUS BASE MÒDULS'!$C$30:$F$30,4,FALSE()),0)</f>
        <v>0</v>
      </c>
      <c r="S9" s="100" t="n">
        <f aca="false">IFERROR((VLOOKUP(O9,'PREUS BASE MÒDULS'!$C$27:$D$27,2,FALSE())*K9),0)*2</f>
        <v>124.2</v>
      </c>
      <c r="T9" s="101" t="n">
        <f aca="false">IFERROR(+P9+Q9+S9+R9,0)</f>
        <v>245.496</v>
      </c>
      <c r="U9" s="99"/>
      <c r="V9" s="100"/>
      <c r="W9" s="102"/>
      <c r="X9" s="102"/>
      <c r="Y9" s="100" t="n">
        <f aca="false">IFERROR(VLOOKUP(V9,'PREUS BASE MÒDULS'!$C$11:$D$13,2,FALSE())*U9,0)</f>
        <v>0</v>
      </c>
      <c r="Z9" s="100" t="n">
        <f aca="false">IFERROR(VLOOKUP(W9,'PREUS BASE MÒDULS'!$C$24:$D$24,2,FALSE())*U9,0)</f>
        <v>0</v>
      </c>
      <c r="AA9" s="100" t="n">
        <f aca="false">IFERROR((VLOOKUP(X9,'PREUS BASE MÒDULS'!$C$27:$D$27,2,FALSE())*U9),0)*2</f>
        <v>0</v>
      </c>
      <c r="AB9" s="101" t="n">
        <f aca="false">IFERROR(+Y9+Z9+AA9,0)</f>
        <v>0</v>
      </c>
      <c r="AC9" s="99"/>
      <c r="AD9" s="100"/>
      <c r="AE9" s="102"/>
      <c r="AF9" s="102"/>
      <c r="AG9" s="100" t="n">
        <f aca="false">IFERROR(VLOOKUP(AD9,'PREUS BASE MÒDULS'!$C$14:$D$14,2,FALSE()),0)</f>
        <v>0</v>
      </c>
      <c r="AH9" s="100" t="n">
        <f aca="false">IFERROR(VLOOKUP(AE9,'PREUS BASE MÒDULS'!$C$24:$D$24,2,FALSE())*AC9,0)</f>
        <v>0</v>
      </c>
      <c r="AI9" s="100" t="n">
        <f aca="false">IFERROR((VLOOKUP(AF9,'PREUS BASE MÒDULS'!$C$27:$D$27,2,FALSE())*AC9),0)</f>
        <v>0</v>
      </c>
      <c r="AJ9" s="103" t="n">
        <f aca="false">IFERROR(+AG9+AH9+AI9,0)</f>
        <v>0</v>
      </c>
      <c r="AK9" s="104"/>
      <c r="AL9" s="104"/>
      <c r="AM9" s="100" t="n">
        <f aca="false">ROUND((+AH9+AG9+Z9+Y9+Q9+P9+H9+R9),2)</f>
        <v>121.3</v>
      </c>
      <c r="AN9" s="105" t="n">
        <f aca="false">ROUND((+AI9+AA9+S9+I9),5)</f>
        <v>124.2</v>
      </c>
      <c r="AO9" s="106" t="n">
        <f aca="false">ROUND((+AN9+AM9),7)</f>
        <v>245.5</v>
      </c>
      <c r="AP9" s="107" t="n">
        <f aca="false">AO9*1.21</f>
        <v>297.055</v>
      </c>
      <c r="AQ9" s="104"/>
      <c r="AR9" s="108" t="n">
        <f aca="false">IFERROR(AM9/AO9,"")</f>
        <v>0.494093686354379</v>
      </c>
      <c r="AS9" s="109" t="n">
        <f aca="false">IFERROR(AN9/AO9,"")</f>
        <v>0.505906313645621</v>
      </c>
      <c r="AT9" s="6"/>
      <c r="AU9" s="6"/>
      <c r="AV9" s="6"/>
      <c r="AW9" s="6"/>
    </row>
    <row r="10" customFormat="false" ht="24.75" hidden="false" customHeight="true" outlineLevel="0" collapsed="false">
      <c r="A10" s="6"/>
      <c r="B10" s="97" t="s">
        <v>46</v>
      </c>
      <c r="C10" s="98" t="s">
        <v>53</v>
      </c>
      <c r="D10" s="86"/>
      <c r="E10" s="99" t="n">
        <v>2</v>
      </c>
      <c r="F10" s="100" t="s">
        <v>9</v>
      </c>
      <c r="G10" s="100" t="s">
        <v>27</v>
      </c>
      <c r="H10" s="100" t="n">
        <f aca="false">IFERROR(VLOOKUP(F10,'PREUS BASE MÒDULS'!$C$5:$D$7,2,FALSE())*E10,0)</f>
        <v>310.46</v>
      </c>
      <c r="I10" s="100" t="n">
        <f aca="false">IFERROR((VLOOKUP(G10,'PREUS BASE MÒDULS'!$C$27:$D$27,2,FALSE())*E10),0)*2</f>
        <v>248.4</v>
      </c>
      <c r="J10" s="101" t="n">
        <f aca="false">IFERROR(+H10+I10,0)</f>
        <v>558.86</v>
      </c>
      <c r="K10" s="99" t="n">
        <v>2</v>
      </c>
      <c r="L10" s="100" t="s">
        <v>12</v>
      </c>
      <c r="M10" s="102" t="s">
        <v>25</v>
      </c>
      <c r="N10" s="102" t="s">
        <v>48</v>
      </c>
      <c r="O10" s="102" t="s">
        <v>27</v>
      </c>
      <c r="P10" s="100" t="n">
        <f aca="false">IFERROR(VLOOKUP(L10,'PREUS BASE MÒDULS'!$C$8:$D$10,2,FALSE())*K10,0)</f>
        <v>202.272</v>
      </c>
      <c r="Q10" s="100" t="n">
        <f aca="false">IFERROR(VLOOKUP(M10,'PREUS BASE MÒDULS'!$C$24:$D$24,2,FALSE())*K10,0)</f>
        <v>40.32</v>
      </c>
      <c r="R10" s="100" t="n">
        <f aca="false">IFERROR(VLOOKUP(N10,'PREUS BASE MÒDULS'!$C$30:$F$30,4,FALSE()),0)</f>
        <v>0</v>
      </c>
      <c r="S10" s="100" t="n">
        <f aca="false">IFERROR((VLOOKUP(O10,'PREUS BASE MÒDULS'!$C$27:$D$27,2,FALSE())*K10),0)*2</f>
        <v>248.4</v>
      </c>
      <c r="T10" s="101" t="n">
        <f aca="false">IFERROR(+P10+Q10+S10+R10,0)</f>
        <v>490.992</v>
      </c>
      <c r="U10" s="99"/>
      <c r="V10" s="100"/>
      <c r="W10" s="102"/>
      <c r="X10" s="102"/>
      <c r="Y10" s="100" t="n">
        <f aca="false">IFERROR(VLOOKUP(V10,'PREUS BASE MÒDULS'!$C$11:$D$13,2,FALSE())*U10,0)</f>
        <v>0</v>
      </c>
      <c r="Z10" s="100" t="n">
        <f aca="false">IFERROR(VLOOKUP(W10,'PREUS BASE MÒDULS'!$C$24:$D$24,2,FALSE())*U10,0)</f>
        <v>0</v>
      </c>
      <c r="AA10" s="100" t="n">
        <f aca="false">IFERROR((VLOOKUP(X10,'PREUS BASE MÒDULS'!$C$27:$D$27,2,FALSE())*U10),0)*2</f>
        <v>0</v>
      </c>
      <c r="AB10" s="101" t="n">
        <f aca="false">IFERROR(+Y10+Z10+AA10,0)</f>
        <v>0</v>
      </c>
      <c r="AC10" s="99"/>
      <c r="AD10" s="100"/>
      <c r="AE10" s="102"/>
      <c r="AF10" s="102"/>
      <c r="AG10" s="100" t="n">
        <f aca="false">IFERROR(VLOOKUP(AD10,'PREUS BASE MÒDULS'!$C$14:$D$14,2,FALSE()),0)</f>
        <v>0</v>
      </c>
      <c r="AH10" s="100" t="n">
        <f aca="false">IFERROR(VLOOKUP(AE10,'PREUS BASE MÒDULS'!$C$24:$D$24,2,FALSE())*AC10,0)</f>
        <v>0</v>
      </c>
      <c r="AI10" s="100" t="n">
        <f aca="false">IFERROR((VLOOKUP(AF10,'PREUS BASE MÒDULS'!$C$27:$D$27,2,FALSE())*AC10),0)</f>
        <v>0</v>
      </c>
      <c r="AJ10" s="103" t="n">
        <f aca="false">IFERROR(+AG10+AH10+AI10,0)</f>
        <v>0</v>
      </c>
      <c r="AK10" s="104"/>
      <c r="AL10" s="104"/>
      <c r="AM10" s="100" t="n">
        <f aca="false">ROUND((+AH10+AG10+Z10+Y10+Q10+P10+H10+R10),2)</f>
        <v>553.05</v>
      </c>
      <c r="AN10" s="105" t="n">
        <f aca="false">ROUND((+AI10+AA10+S10+I10),5)</f>
        <v>496.8</v>
      </c>
      <c r="AO10" s="106" t="n">
        <f aca="false">ROUND((+AN10+AM10),7)</f>
        <v>1049.85</v>
      </c>
      <c r="AP10" s="107" t="n">
        <f aca="false">AO10*1.21</f>
        <v>1270.3185</v>
      </c>
      <c r="AQ10" s="104"/>
      <c r="AR10" s="108" t="n">
        <f aca="false">IFERROR(AM10/AO10,"")</f>
        <v>0.526789541363052</v>
      </c>
      <c r="AS10" s="109" t="n">
        <f aca="false">IFERROR(AN10/AO10,"")</f>
        <v>0.473210458636948</v>
      </c>
      <c r="AT10" s="6"/>
      <c r="AU10" s="6"/>
      <c r="AV10" s="6"/>
      <c r="AW10" s="6"/>
    </row>
    <row r="11" customFormat="false" ht="24.75" hidden="false" customHeight="true" outlineLevel="0" collapsed="false">
      <c r="A11" s="6"/>
      <c r="B11" s="97" t="s">
        <v>46</v>
      </c>
      <c r="C11" s="98" t="s">
        <v>54</v>
      </c>
      <c r="D11" s="86"/>
      <c r="E11" s="99"/>
      <c r="F11" s="100"/>
      <c r="G11" s="100"/>
      <c r="H11" s="100" t="n">
        <f aca="false">IFERROR(VLOOKUP(F11,'PREUS BASE MÒDULS'!$C$5:$D$7,2,FALSE())*E11,0)</f>
        <v>0</v>
      </c>
      <c r="I11" s="100" t="n">
        <f aca="false">IFERROR((VLOOKUP(G11,'PREUS BASE MÒDULS'!$C$27:$D$27,2,FALSE())*E11),0)*2</f>
        <v>0</v>
      </c>
      <c r="J11" s="101" t="n">
        <f aca="false">IFERROR(+H11+I11,0)</f>
        <v>0</v>
      </c>
      <c r="K11" s="99" t="n">
        <v>2</v>
      </c>
      <c r="L11" s="100" t="s">
        <v>11</v>
      </c>
      <c r="M11" s="102" t="s">
        <v>25</v>
      </c>
      <c r="N11" s="102" t="s">
        <v>48</v>
      </c>
      <c r="O11" s="102" t="s">
        <v>27</v>
      </c>
      <c r="P11" s="100" t="n">
        <f aca="false">IFERROR(VLOOKUP(L11,'PREUS BASE MÒDULS'!$C$8:$D$10,2,FALSE())*K11,0)</f>
        <v>192.86</v>
      </c>
      <c r="Q11" s="100" t="n">
        <f aca="false">IFERROR(VLOOKUP(M11,'PREUS BASE MÒDULS'!$C$24:$D$24,2,FALSE())*K11,0)</f>
        <v>40.32</v>
      </c>
      <c r="R11" s="100" t="n">
        <f aca="false">IFERROR(VLOOKUP(N11,'PREUS BASE MÒDULS'!$C$30:$F$30,4,FALSE()),0)</f>
        <v>0</v>
      </c>
      <c r="S11" s="100" t="n">
        <f aca="false">IFERROR((VLOOKUP(O11,'PREUS BASE MÒDULS'!$C$27:$D$27,2,FALSE())*K11),0)*2</f>
        <v>248.4</v>
      </c>
      <c r="T11" s="101" t="n">
        <f aca="false">IFERROR(+P11+Q11+S11+R11,0)</f>
        <v>481.58</v>
      </c>
      <c r="U11" s="99"/>
      <c r="V11" s="100"/>
      <c r="W11" s="102"/>
      <c r="X11" s="102"/>
      <c r="Y11" s="100" t="n">
        <f aca="false">IFERROR(VLOOKUP(V11,'PREUS BASE MÒDULS'!$C$11:$D$13,2,FALSE())*U11,0)</f>
        <v>0</v>
      </c>
      <c r="Z11" s="100" t="n">
        <f aca="false">IFERROR(VLOOKUP(W11,'PREUS BASE MÒDULS'!$C$24:$D$24,2,FALSE())*U11,0)</f>
        <v>0</v>
      </c>
      <c r="AA11" s="100" t="n">
        <f aca="false">IFERROR((VLOOKUP(X11,'PREUS BASE MÒDULS'!$C$27:$D$27,2,FALSE())*U11),0)*2</f>
        <v>0</v>
      </c>
      <c r="AB11" s="101" t="n">
        <f aca="false">IFERROR(+Y11+Z11+AA11,0)</f>
        <v>0</v>
      </c>
      <c r="AC11" s="99"/>
      <c r="AD11" s="100"/>
      <c r="AE11" s="102"/>
      <c r="AF11" s="102"/>
      <c r="AG11" s="100" t="n">
        <f aca="false">IFERROR(VLOOKUP(AD11,'PREUS BASE MÒDULS'!$C$14:$D$14,2,FALSE()),0)</f>
        <v>0</v>
      </c>
      <c r="AH11" s="100" t="n">
        <f aca="false">IFERROR(VLOOKUP(AE11,'PREUS BASE MÒDULS'!$C$24:$D$24,2,FALSE())*AC11,0)</f>
        <v>0</v>
      </c>
      <c r="AI11" s="100" t="n">
        <f aca="false">IFERROR((VLOOKUP(AF11,'PREUS BASE MÒDULS'!$C$27:$D$27,2,FALSE())*AC11),0)</f>
        <v>0</v>
      </c>
      <c r="AJ11" s="103" t="n">
        <f aca="false">IFERROR(+AG11+AH11+AI11,0)</f>
        <v>0</v>
      </c>
      <c r="AK11" s="104"/>
      <c r="AL11" s="104"/>
      <c r="AM11" s="100" t="n">
        <f aca="false">ROUND((+AH11+AG11+Z11+Y11+Q11+P11+H11+R11),2)</f>
        <v>233.18</v>
      </c>
      <c r="AN11" s="105" t="n">
        <f aca="false">ROUND((+AI11+AA11+S11+I11),5)</f>
        <v>248.4</v>
      </c>
      <c r="AO11" s="106" t="n">
        <f aca="false">ROUND((+AN11+AM11),7)</f>
        <v>481.58</v>
      </c>
      <c r="AP11" s="107" t="n">
        <f aca="false">AO11*1.21</f>
        <v>582.7118</v>
      </c>
      <c r="AQ11" s="104"/>
      <c r="AR11" s="108" t="n">
        <f aca="false">IFERROR(AM11/AO11,"")</f>
        <v>0.484197848747872</v>
      </c>
      <c r="AS11" s="109" t="n">
        <f aca="false">IFERROR(AN11/AO11,"")</f>
        <v>0.515802151252129</v>
      </c>
      <c r="AT11" s="6"/>
      <c r="AU11" s="6"/>
      <c r="AV11" s="6"/>
      <c r="AW11" s="6"/>
    </row>
    <row r="12" customFormat="false" ht="24.75" hidden="false" customHeight="true" outlineLevel="0" collapsed="false">
      <c r="A12" s="6"/>
      <c r="B12" s="97" t="s">
        <v>46</v>
      </c>
      <c r="C12" s="98" t="s">
        <v>55</v>
      </c>
      <c r="D12" s="86"/>
      <c r="E12" s="99"/>
      <c r="F12" s="100"/>
      <c r="G12" s="100"/>
      <c r="H12" s="100" t="n">
        <f aca="false">IFERROR(VLOOKUP(F12,'PREUS BASE MÒDULS'!$C$5:$D$7,2,FALSE())*E12,0)</f>
        <v>0</v>
      </c>
      <c r="I12" s="100" t="n">
        <f aca="false">IFERROR((VLOOKUP(G12,'PREUS BASE MÒDULS'!$C$27:$D$27,2,FALSE())*E12),0)*2</f>
        <v>0</v>
      </c>
      <c r="J12" s="101" t="n">
        <f aca="false">IFERROR(+H12+I12,0)</f>
        <v>0</v>
      </c>
      <c r="K12" s="99" t="n">
        <v>1</v>
      </c>
      <c r="L12" s="100" t="s">
        <v>12</v>
      </c>
      <c r="M12" s="102" t="s">
        <v>25</v>
      </c>
      <c r="N12" s="102" t="s">
        <v>25</v>
      </c>
      <c r="O12" s="102" t="s">
        <v>27</v>
      </c>
      <c r="P12" s="100" t="n">
        <f aca="false">IFERROR(VLOOKUP(L12,'PREUS BASE MÒDULS'!$C$8:$D$10,2,FALSE())*K12,0)</f>
        <v>101.136</v>
      </c>
      <c r="Q12" s="100" t="n">
        <f aca="false">IFERROR(VLOOKUP(M12,'PREUS BASE MÒDULS'!$C$24:$D$24,2,FALSE())*K12,0)</f>
        <v>20.16</v>
      </c>
      <c r="R12" s="100" t="n">
        <f aca="false">IFERROR(VLOOKUP(N12,'PREUS BASE MÒDULS'!$C$30:$D$30,2,FALSE()),0)</f>
        <v>504</v>
      </c>
      <c r="S12" s="100" t="n">
        <f aca="false">IFERROR((VLOOKUP(O12,'PREUS BASE MÒDULS'!$C$27:$D$27,2,FALSE())*K12),0)*2</f>
        <v>124.2</v>
      </c>
      <c r="T12" s="101" t="n">
        <f aca="false">IFERROR(+P12+Q12+S12+R12,0)</f>
        <v>749.496</v>
      </c>
      <c r="U12" s="99" t="n">
        <v>1</v>
      </c>
      <c r="V12" s="100" t="s">
        <v>12</v>
      </c>
      <c r="W12" s="102" t="s">
        <v>25</v>
      </c>
      <c r="X12" s="102" t="s">
        <v>27</v>
      </c>
      <c r="Y12" s="100" t="n">
        <f aca="false">IFERROR(VLOOKUP(V12,'PREUS BASE MÒDULS'!$C$11:$D$13,2,FALSE())*U12,0)</f>
        <v>328.104</v>
      </c>
      <c r="Z12" s="100" t="n">
        <f aca="false">IFERROR(VLOOKUP(W12,'PREUS BASE MÒDULS'!$C$24:$D$24,2,FALSE())*U12,0)</f>
        <v>20.16</v>
      </c>
      <c r="AA12" s="100" t="n">
        <f aca="false">IFERROR((VLOOKUP(X12,'PREUS BASE MÒDULS'!$C$27:$D$27,2,FALSE())*U12),0)*2</f>
        <v>124.2</v>
      </c>
      <c r="AB12" s="101" t="n">
        <f aca="false">IFERROR(+Y12+Z12+AA12,0)</f>
        <v>472.464</v>
      </c>
      <c r="AC12" s="99"/>
      <c r="AD12" s="100"/>
      <c r="AE12" s="102"/>
      <c r="AF12" s="102"/>
      <c r="AG12" s="100" t="n">
        <f aca="false">IFERROR(VLOOKUP(AD12,'PREUS BASE MÒDULS'!$C$14:$D$14,2,FALSE()),0)</f>
        <v>0</v>
      </c>
      <c r="AH12" s="100" t="n">
        <f aca="false">IFERROR(VLOOKUP(AE12,'PREUS BASE MÒDULS'!$C$24:$D$24,2,FALSE())*AC12,0)</f>
        <v>0</v>
      </c>
      <c r="AI12" s="100" t="n">
        <f aca="false">IFERROR((VLOOKUP(AF12,'PREUS BASE MÒDULS'!$C$27:$D$27,2,FALSE())*AC12),0)</f>
        <v>0</v>
      </c>
      <c r="AJ12" s="103" t="n">
        <f aca="false">IFERROR(+AG12+AH12+AI12,0)</f>
        <v>0</v>
      </c>
      <c r="AK12" s="104"/>
      <c r="AL12" s="104"/>
      <c r="AM12" s="100" t="n">
        <f aca="false">ROUND((+AH12+AG12+Z12+Y12+Q12+P12+H12+R12),2)</f>
        <v>973.56</v>
      </c>
      <c r="AN12" s="105" t="n">
        <f aca="false">ROUND((+AI12+AA12+S12+I12),5)</f>
        <v>248.4</v>
      </c>
      <c r="AO12" s="106" t="n">
        <f aca="false">ROUND((+AN12+AM12),7)</f>
        <v>1221.96</v>
      </c>
      <c r="AP12" s="107" t="n">
        <f aca="false">AO12*1.21</f>
        <v>1478.5716</v>
      </c>
      <c r="AQ12" s="104"/>
      <c r="AR12" s="108" t="n">
        <f aca="false">IFERROR(AM12/AO12,"")</f>
        <v>0.796720023568693</v>
      </c>
      <c r="AS12" s="109" t="n">
        <f aca="false">IFERROR(AN12/AO12,"")</f>
        <v>0.203279976431307</v>
      </c>
      <c r="AT12" s="6"/>
      <c r="AU12" s="6"/>
      <c r="AV12" s="6"/>
      <c r="AW12" s="6"/>
    </row>
    <row r="13" customFormat="false" ht="24.75" hidden="false" customHeight="true" outlineLevel="0" collapsed="false">
      <c r="A13" s="6"/>
      <c r="B13" s="97" t="s">
        <v>46</v>
      </c>
      <c r="C13" s="98" t="s">
        <v>56</v>
      </c>
      <c r="D13" s="86"/>
      <c r="E13" s="99"/>
      <c r="F13" s="100"/>
      <c r="G13" s="100"/>
      <c r="H13" s="100" t="n">
        <f aca="false">IFERROR(VLOOKUP(F13,'PREUS BASE MÒDULS'!$C$5:$D$7,2,FALSE())*E13,0)</f>
        <v>0</v>
      </c>
      <c r="I13" s="100" t="n">
        <f aca="false">IFERROR((VLOOKUP(G13,'PREUS BASE MÒDULS'!$C$27:$D$27,2,FALSE())*E13),0)*2</f>
        <v>0</v>
      </c>
      <c r="J13" s="101" t="n">
        <f aca="false">IFERROR(+H13+I13,0)</f>
        <v>0</v>
      </c>
      <c r="K13" s="99" t="n">
        <v>3</v>
      </c>
      <c r="L13" s="100" t="s">
        <v>12</v>
      </c>
      <c r="M13" s="102" t="s">
        <v>25</v>
      </c>
      <c r="N13" s="102" t="s">
        <v>48</v>
      </c>
      <c r="O13" s="102" t="s">
        <v>27</v>
      </c>
      <c r="P13" s="100" t="n">
        <f aca="false">IFERROR(VLOOKUP(L13,'PREUS BASE MÒDULS'!$C$8:$D$10,2,FALSE())*K13,0)</f>
        <v>303.408</v>
      </c>
      <c r="Q13" s="100" t="n">
        <f aca="false">IFERROR(VLOOKUP(M13,'PREUS BASE MÒDULS'!$C$24:$D$24,2,FALSE())*K13,0)</f>
        <v>60.48</v>
      </c>
      <c r="R13" s="100" t="n">
        <f aca="false">IFERROR(VLOOKUP(N13,'PREUS BASE MÒDULS'!$C$30:$F$30,4,FALSE()),0)</f>
        <v>0</v>
      </c>
      <c r="S13" s="100" t="n">
        <f aca="false">IFERROR((VLOOKUP(O13,'PREUS BASE MÒDULS'!$C$27:$D$27,2,FALSE())*K13),0)*2</f>
        <v>372.6</v>
      </c>
      <c r="T13" s="101" t="n">
        <f aca="false">IFERROR(+P13+Q13+S13+R13,0)</f>
        <v>736.488</v>
      </c>
      <c r="U13" s="99"/>
      <c r="V13" s="100"/>
      <c r="W13" s="102"/>
      <c r="X13" s="102"/>
      <c r="Y13" s="100" t="n">
        <f aca="false">IFERROR(VLOOKUP(V13,'PREUS BASE MÒDULS'!$C$11:$D$13,2,FALSE())*U13,0)</f>
        <v>0</v>
      </c>
      <c r="Z13" s="100" t="n">
        <f aca="false">IFERROR(VLOOKUP(W13,'PREUS BASE MÒDULS'!$C$24:$D$24,2,FALSE())*U13,0)</f>
        <v>0</v>
      </c>
      <c r="AA13" s="100" t="n">
        <f aca="false">IFERROR((VLOOKUP(X13,'PREUS BASE MÒDULS'!$C$27:$D$27,2,FALSE())*U13),0)*2</f>
        <v>0</v>
      </c>
      <c r="AB13" s="101" t="n">
        <f aca="false">IFERROR(+Y13+Z13+AA13,0)</f>
        <v>0</v>
      </c>
      <c r="AC13" s="99"/>
      <c r="AD13" s="100"/>
      <c r="AE13" s="102"/>
      <c r="AF13" s="102"/>
      <c r="AG13" s="100" t="n">
        <f aca="false">IFERROR(VLOOKUP(AD13,'PREUS BASE MÒDULS'!$C$14:$D$14,2,FALSE()),0)</f>
        <v>0</v>
      </c>
      <c r="AH13" s="100" t="n">
        <f aca="false">IFERROR(VLOOKUP(AE13,'PREUS BASE MÒDULS'!$C$24:$D$24,2,FALSE())*AC13,0)</f>
        <v>0</v>
      </c>
      <c r="AI13" s="100" t="n">
        <f aca="false">IFERROR((VLOOKUP(AF13,'PREUS BASE MÒDULS'!$C$27:$D$27,2,FALSE())*AC13),0)</f>
        <v>0</v>
      </c>
      <c r="AJ13" s="103" t="n">
        <f aca="false">IFERROR(+AG13+AH13+AI13,0)</f>
        <v>0</v>
      </c>
      <c r="AK13" s="104"/>
      <c r="AL13" s="104"/>
      <c r="AM13" s="100" t="n">
        <f aca="false">ROUND((+AH13+AG13+Z13+Y13+Q13+P13+H13+R13),2)</f>
        <v>363.89</v>
      </c>
      <c r="AN13" s="105" t="n">
        <f aca="false">ROUND((+AI13+AA13+S13+I13),5)</f>
        <v>372.6</v>
      </c>
      <c r="AO13" s="106" t="n">
        <f aca="false">ROUND((+AN13+AM13),7)</f>
        <v>736.49</v>
      </c>
      <c r="AP13" s="107" t="n">
        <f aca="false">AO13*1.21</f>
        <v>891.1529</v>
      </c>
      <c r="AQ13" s="104"/>
      <c r="AR13" s="108" t="n">
        <f aca="false">IFERROR(AM13/AO13,"")</f>
        <v>0.494086817200505</v>
      </c>
      <c r="AS13" s="109" t="n">
        <f aca="false">IFERROR(AN13/AO13,"")</f>
        <v>0.505913182799495</v>
      </c>
      <c r="AT13" s="6"/>
      <c r="AU13" s="6"/>
      <c r="AV13" s="6"/>
      <c r="AW13" s="6"/>
    </row>
    <row r="14" customFormat="false" ht="24.75" hidden="false" customHeight="true" outlineLevel="0" collapsed="false">
      <c r="A14" s="6"/>
      <c r="B14" s="97" t="s">
        <v>46</v>
      </c>
      <c r="C14" s="98" t="s">
        <v>57</v>
      </c>
      <c r="D14" s="86"/>
      <c r="E14" s="99"/>
      <c r="F14" s="100"/>
      <c r="G14" s="100"/>
      <c r="H14" s="100" t="n">
        <f aca="false">IFERROR(VLOOKUP(F14,'PREUS BASE MÒDULS'!$C$5:$D$7,2,FALSE())*E14,0)</f>
        <v>0</v>
      </c>
      <c r="I14" s="100" t="n">
        <f aca="false">IFERROR((VLOOKUP(G14,'PREUS BASE MÒDULS'!$C$27:$D$27,2,FALSE())*E14),0)*2</f>
        <v>0</v>
      </c>
      <c r="J14" s="101" t="n">
        <f aca="false">IFERROR(+H14+I14,0)</f>
        <v>0</v>
      </c>
      <c r="K14" s="99" t="n">
        <v>4</v>
      </c>
      <c r="L14" s="100" t="s">
        <v>12</v>
      </c>
      <c r="M14" s="102" t="s">
        <v>25</v>
      </c>
      <c r="N14" s="102" t="s">
        <v>48</v>
      </c>
      <c r="O14" s="102" t="s">
        <v>27</v>
      </c>
      <c r="P14" s="100" t="n">
        <f aca="false">IFERROR(VLOOKUP(L14,'PREUS BASE MÒDULS'!$C$8:$D$10,2,FALSE())*K14,0)</f>
        <v>404.544</v>
      </c>
      <c r="Q14" s="100" t="n">
        <f aca="false">IFERROR(VLOOKUP(M14,'PREUS BASE MÒDULS'!$C$24:$D$24,2,FALSE())*K14,0)</f>
        <v>80.64</v>
      </c>
      <c r="R14" s="100" t="n">
        <f aca="false">IFERROR(VLOOKUP(N14,'PREUS BASE MÒDULS'!$C$30:$F$30,4,FALSE()),0)</f>
        <v>0</v>
      </c>
      <c r="S14" s="100" t="n">
        <f aca="false">IFERROR((VLOOKUP(O14,'PREUS BASE MÒDULS'!$C$27:$D$27,2,FALSE())*K14),0)*2</f>
        <v>496.8</v>
      </c>
      <c r="T14" s="101" t="n">
        <f aca="false">IFERROR(+P14+Q14+S14+R14,0)</f>
        <v>981.984</v>
      </c>
      <c r="U14" s="99"/>
      <c r="V14" s="100"/>
      <c r="W14" s="102"/>
      <c r="X14" s="102"/>
      <c r="Y14" s="100" t="n">
        <f aca="false">IFERROR(VLOOKUP(V14,'PREUS BASE MÒDULS'!$C$11:$D$13,2,FALSE())*U14,0)</f>
        <v>0</v>
      </c>
      <c r="Z14" s="100" t="n">
        <f aca="false">IFERROR(VLOOKUP(W14,'PREUS BASE MÒDULS'!$C$24:$D$24,2,FALSE())*U14,0)</f>
        <v>0</v>
      </c>
      <c r="AA14" s="100" t="n">
        <f aca="false">IFERROR((VLOOKUP(X14,'PREUS BASE MÒDULS'!$C$27:$D$27,2,FALSE())*U14),0)*2</f>
        <v>0</v>
      </c>
      <c r="AB14" s="101" t="n">
        <f aca="false">IFERROR(+Y14+Z14+AA14,0)</f>
        <v>0</v>
      </c>
      <c r="AC14" s="99"/>
      <c r="AD14" s="100"/>
      <c r="AE14" s="102"/>
      <c r="AF14" s="102"/>
      <c r="AG14" s="100" t="n">
        <f aca="false">IFERROR(VLOOKUP(AD14,'PREUS BASE MÒDULS'!$C$14:$D$14,2,FALSE()),0)</f>
        <v>0</v>
      </c>
      <c r="AH14" s="100" t="n">
        <f aca="false">IFERROR(VLOOKUP(AE14,'PREUS BASE MÒDULS'!$C$24:$D$24,2,FALSE())*AC14,0)</f>
        <v>0</v>
      </c>
      <c r="AI14" s="100" t="n">
        <f aca="false">IFERROR((VLOOKUP(AF14,'PREUS BASE MÒDULS'!$C$27:$D$27,2,FALSE())*AC14),0)</f>
        <v>0</v>
      </c>
      <c r="AJ14" s="103" t="n">
        <f aca="false">IFERROR(+AG14+AH14+AI14,0)</f>
        <v>0</v>
      </c>
      <c r="AK14" s="104"/>
      <c r="AL14" s="104"/>
      <c r="AM14" s="100" t="n">
        <f aca="false">ROUND((+AH14+AG14+Z14+Y14+Q14+P14+H14+R14),2)</f>
        <v>485.18</v>
      </c>
      <c r="AN14" s="105" t="n">
        <f aca="false">ROUND((+AI14+AA14+S14+I14),5)</f>
        <v>496.8</v>
      </c>
      <c r="AO14" s="106" t="n">
        <f aca="false">ROUND((+AN14+AM14),7)</f>
        <v>981.98</v>
      </c>
      <c r="AP14" s="107" t="n">
        <f aca="false">AO14*1.21</f>
        <v>1188.1958</v>
      </c>
      <c r="AQ14" s="104"/>
      <c r="AR14" s="108" t="n">
        <f aca="false">IFERROR(AM14/AO14,"")</f>
        <v>0.494083382553616</v>
      </c>
      <c r="AS14" s="109" t="n">
        <f aca="false">IFERROR(AN14/AO14,"")</f>
        <v>0.505916617446384</v>
      </c>
      <c r="AT14" s="6"/>
      <c r="AU14" s="6"/>
      <c r="AV14" s="6"/>
      <c r="AW14" s="6"/>
    </row>
    <row r="15" customFormat="false" ht="24.75" hidden="false" customHeight="true" outlineLevel="0" collapsed="false">
      <c r="A15" s="6"/>
      <c r="B15" s="97" t="s">
        <v>46</v>
      </c>
      <c r="C15" s="98" t="s">
        <v>57</v>
      </c>
      <c r="D15" s="86"/>
      <c r="E15" s="99"/>
      <c r="F15" s="100"/>
      <c r="G15" s="100"/>
      <c r="H15" s="100" t="n">
        <f aca="false">IFERROR(VLOOKUP(F15,'PREUS BASE MÒDULS'!$C$5:$D$7,2,FALSE())*E15,0)</f>
        <v>0</v>
      </c>
      <c r="I15" s="100" t="n">
        <f aca="false">IFERROR((VLOOKUP(G15,'PREUS BASE MÒDULS'!$C$27:$D$27,2,FALSE())*E15),0)*2</f>
        <v>0</v>
      </c>
      <c r="J15" s="101" t="n">
        <f aca="false">IFERROR(+H15+I15,0)</f>
        <v>0</v>
      </c>
      <c r="K15" s="99" t="n">
        <v>2</v>
      </c>
      <c r="L15" s="100" t="s">
        <v>11</v>
      </c>
      <c r="M15" s="102" t="s">
        <v>25</v>
      </c>
      <c r="N15" s="102" t="s">
        <v>48</v>
      </c>
      <c r="O15" s="102" t="s">
        <v>27</v>
      </c>
      <c r="P15" s="100" t="n">
        <f aca="false">IFERROR(VLOOKUP(L15,'PREUS BASE MÒDULS'!$C$8:$D$10,2,FALSE())*K15,0)</f>
        <v>192.86</v>
      </c>
      <c r="Q15" s="100" t="n">
        <f aca="false">IFERROR(VLOOKUP(M15,'PREUS BASE MÒDULS'!$C$24:$D$24,2,FALSE())*K15,0)</f>
        <v>40.32</v>
      </c>
      <c r="R15" s="100" t="n">
        <f aca="false">IFERROR(VLOOKUP(N15,'PREUS BASE MÒDULS'!$C$30:$F$30,4,FALSE()),0)</f>
        <v>0</v>
      </c>
      <c r="S15" s="100" t="n">
        <f aca="false">IFERROR((VLOOKUP(O15,'PREUS BASE MÒDULS'!$C$27:$D$27,2,FALSE())*K15),0)*2</f>
        <v>248.4</v>
      </c>
      <c r="T15" s="101" t="n">
        <f aca="false">IFERROR(+P15+Q15+S15+R15,0)</f>
        <v>481.58</v>
      </c>
      <c r="U15" s="99"/>
      <c r="V15" s="100"/>
      <c r="W15" s="102"/>
      <c r="X15" s="102"/>
      <c r="Y15" s="100" t="n">
        <f aca="false">IFERROR(VLOOKUP(V15,'PREUS BASE MÒDULS'!$C$11:$D$13,2,FALSE())*U15,0)</f>
        <v>0</v>
      </c>
      <c r="Z15" s="100" t="n">
        <f aca="false">IFERROR(VLOOKUP(W15,'PREUS BASE MÒDULS'!$C$24:$D$24,2,FALSE())*U15,0)</f>
        <v>0</v>
      </c>
      <c r="AA15" s="100" t="n">
        <f aca="false">IFERROR((VLOOKUP(X15,'PREUS BASE MÒDULS'!$C$27:$D$27,2,FALSE())*U15),0)*2</f>
        <v>0</v>
      </c>
      <c r="AB15" s="101" t="n">
        <f aca="false">IFERROR(+Y15+Z15+AA15,0)</f>
        <v>0</v>
      </c>
      <c r="AC15" s="99"/>
      <c r="AD15" s="100"/>
      <c r="AE15" s="102"/>
      <c r="AF15" s="102"/>
      <c r="AG15" s="100" t="n">
        <f aca="false">IFERROR(VLOOKUP(AD15,'PREUS BASE MÒDULS'!$C$14:$D$14,2,FALSE()),0)</f>
        <v>0</v>
      </c>
      <c r="AH15" s="100" t="n">
        <f aca="false">IFERROR(VLOOKUP(AE15,'PREUS BASE MÒDULS'!$C$24:$D$24,2,FALSE())*AC15,0)</f>
        <v>0</v>
      </c>
      <c r="AI15" s="100" t="n">
        <f aca="false">IFERROR((VLOOKUP(AF15,'PREUS BASE MÒDULS'!$C$27:$D$27,2,FALSE())*AC15),0)</f>
        <v>0</v>
      </c>
      <c r="AJ15" s="103" t="n">
        <f aca="false">IFERROR(+AG15+AH15+AI15,0)</f>
        <v>0</v>
      </c>
      <c r="AK15" s="104"/>
      <c r="AL15" s="104"/>
      <c r="AM15" s="100" t="n">
        <f aca="false">ROUND((+AH15+AG15+Z15+Y15+Q15+P15+H15+R15),2)</f>
        <v>233.18</v>
      </c>
      <c r="AN15" s="105" t="n">
        <f aca="false">ROUND((+AI15+AA15+S15+I15),5)</f>
        <v>248.4</v>
      </c>
      <c r="AO15" s="106" t="n">
        <f aca="false">ROUND((+AN15+AM15),7)</f>
        <v>481.58</v>
      </c>
      <c r="AP15" s="107" t="n">
        <f aca="false">AO15*1.21</f>
        <v>582.7118</v>
      </c>
      <c r="AQ15" s="104"/>
      <c r="AR15" s="108" t="n">
        <f aca="false">IFERROR(AM15/AO15,"")</f>
        <v>0.484197848747872</v>
      </c>
      <c r="AS15" s="109" t="n">
        <f aca="false">IFERROR(AN15/AO15,"")</f>
        <v>0.515802151252129</v>
      </c>
      <c r="AT15" s="6"/>
      <c r="AU15" s="6"/>
      <c r="AV15" s="6"/>
      <c r="AW15" s="6"/>
    </row>
    <row r="16" customFormat="false" ht="24.75" hidden="false" customHeight="true" outlineLevel="0" collapsed="false">
      <c r="A16" s="6"/>
      <c r="B16" s="97" t="s">
        <v>46</v>
      </c>
      <c r="C16" s="98" t="s">
        <v>58</v>
      </c>
      <c r="D16" s="86"/>
      <c r="E16" s="99" t="n">
        <v>3</v>
      </c>
      <c r="F16" s="100" t="s">
        <v>7</v>
      </c>
      <c r="G16" s="100" t="s">
        <v>27</v>
      </c>
      <c r="H16" s="100" t="n">
        <f aca="false">IFERROR(VLOOKUP(F16,'PREUS BASE MÒDULS'!$C$5:$D$7,2,FALSE())*E16,0)</f>
        <v>308.16</v>
      </c>
      <c r="I16" s="100" t="n">
        <f aca="false">IFERROR((VLOOKUP(G16,'PREUS BASE MÒDULS'!$C$27:$D$27,2,FALSE())*E16),0)*2</f>
        <v>372.6</v>
      </c>
      <c r="J16" s="101" t="n">
        <f aca="false">IFERROR(+H16+I16,0)</f>
        <v>680.76</v>
      </c>
      <c r="K16" s="99"/>
      <c r="L16" s="100"/>
      <c r="M16" s="102"/>
      <c r="N16" s="102"/>
      <c r="O16" s="102"/>
      <c r="P16" s="100" t="n">
        <f aca="false">IFERROR(VLOOKUP(L16,'PREUS BASE MÒDULS'!$C$8:$D$10,2,FALSE())*K16,0)</f>
        <v>0</v>
      </c>
      <c r="Q16" s="100" t="n">
        <f aca="false">IFERROR(VLOOKUP(M16,'PREUS BASE MÒDULS'!$C$24:$D$24,2,FALSE())*K16,0)</f>
        <v>0</v>
      </c>
      <c r="R16" s="100" t="n">
        <f aca="false">IFERROR(VLOOKUP(N16,'PREUS BASE MÒDULS'!$C$30:$F$30,4,FALSE()),0)</f>
        <v>0</v>
      </c>
      <c r="S16" s="100" t="n">
        <f aca="false">IFERROR((VLOOKUP(O16,'PREUS BASE MÒDULS'!$C$27:$D$27,2,FALSE())*K16),0)*2</f>
        <v>0</v>
      </c>
      <c r="T16" s="101" t="n">
        <f aca="false">IFERROR(+P16+Q16+S16+R16,0)</f>
        <v>0</v>
      </c>
      <c r="U16" s="99"/>
      <c r="V16" s="100"/>
      <c r="W16" s="102"/>
      <c r="X16" s="102"/>
      <c r="Y16" s="100" t="n">
        <f aca="false">IFERROR(VLOOKUP(V16,'PREUS BASE MÒDULS'!$C$11:$D$13,2,FALSE())*U16,0)</f>
        <v>0</v>
      </c>
      <c r="Z16" s="100" t="n">
        <f aca="false">IFERROR(VLOOKUP(W16,'PREUS BASE MÒDULS'!$C$24:$D$24,2,FALSE())*U16,0)</f>
        <v>0</v>
      </c>
      <c r="AA16" s="100" t="n">
        <f aca="false">IFERROR((VLOOKUP(X16,'PREUS BASE MÒDULS'!$C$27:$D$27,2,FALSE())*U16),0)*2</f>
        <v>0</v>
      </c>
      <c r="AB16" s="101" t="n">
        <f aca="false">IFERROR(+Y16+Z16+AA16,0)</f>
        <v>0</v>
      </c>
      <c r="AC16" s="99"/>
      <c r="AD16" s="100"/>
      <c r="AE16" s="102"/>
      <c r="AF16" s="102"/>
      <c r="AG16" s="100" t="n">
        <f aca="false">IFERROR(VLOOKUP(AD16,'PREUS BASE MÒDULS'!$C$14:$D$14,2,FALSE()),0)</f>
        <v>0</v>
      </c>
      <c r="AH16" s="100" t="n">
        <f aca="false">IFERROR(VLOOKUP(AE16,'PREUS BASE MÒDULS'!$C$24:$D$24,2,FALSE())*AC16,0)</f>
        <v>0</v>
      </c>
      <c r="AI16" s="100" t="n">
        <f aca="false">IFERROR((VLOOKUP(AF16,'PREUS BASE MÒDULS'!$C$27:$D$27,2,FALSE())*AC16),0)</f>
        <v>0</v>
      </c>
      <c r="AJ16" s="103" t="n">
        <f aca="false">IFERROR(+AG16+AH16+AI16,0)</f>
        <v>0</v>
      </c>
      <c r="AK16" s="104"/>
      <c r="AL16" s="104"/>
      <c r="AM16" s="100" t="n">
        <f aca="false">ROUND((+AH16+AG16+Z16+Y16+Q16+P16+H16+R16),2)</f>
        <v>308.16</v>
      </c>
      <c r="AN16" s="105" t="n">
        <f aca="false">ROUND((+AI16+AA16+S16+I16),5)</f>
        <v>372.6</v>
      </c>
      <c r="AO16" s="106" t="n">
        <f aca="false">ROUND((+AN16+AM16),7)</f>
        <v>680.76</v>
      </c>
      <c r="AP16" s="107" t="n">
        <f aca="false">AO16*1.21</f>
        <v>823.7196</v>
      </c>
      <c r="AQ16" s="104"/>
      <c r="AR16" s="108" t="n">
        <f aca="false">IFERROR(AM16/AO16,"")</f>
        <v>0.452670544685352</v>
      </c>
      <c r="AS16" s="109" t="n">
        <f aca="false">IFERROR(AN16/AO16,"")</f>
        <v>0.547329455314648</v>
      </c>
      <c r="AT16" s="6"/>
      <c r="AU16" s="6"/>
      <c r="AV16" s="6"/>
      <c r="AW16" s="6"/>
    </row>
    <row r="17" customFormat="false" ht="24.75" hidden="false" customHeight="true" outlineLevel="0" collapsed="false">
      <c r="A17" s="6"/>
      <c r="B17" s="97" t="s">
        <v>46</v>
      </c>
      <c r="C17" s="98" t="s">
        <v>59</v>
      </c>
      <c r="D17" s="86"/>
      <c r="E17" s="99" t="n">
        <v>3</v>
      </c>
      <c r="F17" s="100" t="s">
        <v>9</v>
      </c>
      <c r="G17" s="100" t="s">
        <v>27</v>
      </c>
      <c r="H17" s="100" t="n">
        <f aca="false">IFERROR(VLOOKUP(F17,'PREUS BASE MÒDULS'!$C$5:$D$7,2,FALSE())*E17,0)</f>
        <v>465.69</v>
      </c>
      <c r="I17" s="100" t="n">
        <f aca="false">IFERROR((VLOOKUP(G17,'PREUS BASE MÒDULS'!$C$27:$D$27,2,FALSE())*E17),0)</f>
        <v>186.3</v>
      </c>
      <c r="J17" s="101" t="n">
        <f aca="false">IFERROR(+H17+I17,0)</f>
        <v>651.99</v>
      </c>
      <c r="K17" s="99"/>
      <c r="L17" s="100"/>
      <c r="M17" s="102"/>
      <c r="N17" s="102"/>
      <c r="O17" s="102"/>
      <c r="P17" s="100" t="n">
        <f aca="false">IFERROR(VLOOKUP(L17,'PREUS BASE MÒDULS'!$C$8:$D$10,2,FALSE())*K17,0)</f>
        <v>0</v>
      </c>
      <c r="Q17" s="100" t="n">
        <f aca="false">IFERROR(VLOOKUP(M17,'PREUS BASE MÒDULS'!$C$24:$D$24,2,FALSE())*K17,0)</f>
        <v>0</v>
      </c>
      <c r="R17" s="100" t="n">
        <f aca="false">IFERROR(VLOOKUP(N17,'PREUS BASE MÒDULS'!$C$30:$F$30,4,FALSE()),0)</f>
        <v>0</v>
      </c>
      <c r="S17" s="100" t="n">
        <f aca="false">IFERROR((VLOOKUP(O17,'PREUS BASE MÒDULS'!$C$27:$D$27,2,FALSE())*K17),0)*2</f>
        <v>0</v>
      </c>
      <c r="T17" s="101" t="n">
        <f aca="false">IFERROR(+P17+Q17+S17+R17,0)</f>
        <v>0</v>
      </c>
      <c r="U17" s="99"/>
      <c r="V17" s="100"/>
      <c r="W17" s="102"/>
      <c r="X17" s="102"/>
      <c r="Y17" s="100" t="n">
        <f aca="false">IFERROR(VLOOKUP(V17,'PREUS BASE MÒDULS'!$C$11:$D$13,2,FALSE())*U17,0)</f>
        <v>0</v>
      </c>
      <c r="Z17" s="100" t="n">
        <f aca="false">IFERROR(VLOOKUP(W17,'PREUS BASE MÒDULS'!$C$24:$D$24,2,FALSE())*U17,0)</f>
        <v>0</v>
      </c>
      <c r="AA17" s="100" t="n">
        <f aca="false">IFERROR((VLOOKUP(X17,'PREUS BASE MÒDULS'!$C$27:$D$27,2,FALSE())*U17),0)*2</f>
        <v>0</v>
      </c>
      <c r="AB17" s="101" t="n">
        <f aca="false">IFERROR(+Y17+Z17+AA17,0)</f>
        <v>0</v>
      </c>
      <c r="AC17" s="99"/>
      <c r="AD17" s="100"/>
      <c r="AE17" s="102"/>
      <c r="AF17" s="102"/>
      <c r="AG17" s="100" t="n">
        <f aca="false">IFERROR(VLOOKUP(AD17,'PREUS BASE MÒDULS'!$C$14:$D$14,2,FALSE()),0)</f>
        <v>0</v>
      </c>
      <c r="AH17" s="100" t="n">
        <f aca="false">IFERROR(VLOOKUP(AE17,'PREUS BASE MÒDULS'!$C$24:$D$24,2,FALSE())*AC17,0)</f>
        <v>0</v>
      </c>
      <c r="AI17" s="100" t="n">
        <f aca="false">IFERROR((VLOOKUP(AF17,'PREUS BASE MÒDULS'!$C$27:$D$27,2,FALSE())*AC17),0)*2</f>
        <v>0</v>
      </c>
      <c r="AJ17" s="103" t="n">
        <f aca="false">IFERROR(+AG17+AH17+AI17,0)</f>
        <v>0</v>
      </c>
      <c r="AK17" s="104"/>
      <c r="AL17" s="104"/>
      <c r="AM17" s="100" t="n">
        <f aca="false">ROUND((+AH17+AG17+Z17+Y17+Q17+P17+H17+R17),2)</f>
        <v>465.69</v>
      </c>
      <c r="AN17" s="105" t="n">
        <f aca="false">ROUND((+AI17+AA17+S17+I17),5)</f>
        <v>186.3</v>
      </c>
      <c r="AO17" s="106" t="n">
        <f aca="false">ROUND((+AN17+AM17),7)</f>
        <v>651.99</v>
      </c>
      <c r="AP17" s="107" t="n">
        <f aca="false">AO17*1.21</f>
        <v>788.9079</v>
      </c>
      <c r="AQ17" s="104"/>
      <c r="AR17" s="108" t="n">
        <f aca="false">IFERROR(AM17/AO17,"")</f>
        <v>0.714259421156766</v>
      </c>
      <c r="AS17" s="109" t="n">
        <f aca="false">IFERROR(AN17/AO17,"")</f>
        <v>0.285740578843234</v>
      </c>
      <c r="AT17" s="6"/>
      <c r="AU17" s="6"/>
      <c r="AV17" s="6"/>
      <c r="AW17" s="6"/>
    </row>
    <row r="18" customFormat="false" ht="24.75" hidden="false" customHeight="true" outlineLevel="0" collapsed="false">
      <c r="A18" s="6"/>
      <c r="B18" s="97" t="s">
        <v>46</v>
      </c>
      <c r="C18" s="98" t="s">
        <v>60</v>
      </c>
      <c r="D18" s="86"/>
      <c r="E18" s="99" t="n">
        <v>3</v>
      </c>
      <c r="F18" s="100" t="s">
        <v>9</v>
      </c>
      <c r="G18" s="100" t="s">
        <v>27</v>
      </c>
      <c r="H18" s="100" t="n">
        <f aca="false">IFERROR(VLOOKUP(F18,'PREUS BASE MÒDULS'!$C$5:$D$7,2,FALSE())*E18,0)</f>
        <v>465.69</v>
      </c>
      <c r="I18" s="100" t="n">
        <f aca="false">IFERROR((VLOOKUP(G18,'PREUS BASE MÒDULS'!$C$27:$D$27,2,FALSE())*E18),0)*2</f>
        <v>372.6</v>
      </c>
      <c r="J18" s="101" t="n">
        <f aca="false">IFERROR(+H18+I18,0)</f>
        <v>838.29</v>
      </c>
      <c r="K18" s="99"/>
      <c r="L18" s="100"/>
      <c r="M18" s="102"/>
      <c r="N18" s="102"/>
      <c r="O18" s="102"/>
      <c r="P18" s="100" t="n">
        <f aca="false">IFERROR(VLOOKUP(L18,'PREUS BASE MÒDULS'!$C$8:$D$10,2,FALSE())*K18,0)</f>
        <v>0</v>
      </c>
      <c r="Q18" s="100" t="n">
        <f aca="false">IFERROR(VLOOKUP(M18,'PREUS BASE MÒDULS'!$C$24:$D$24,2,FALSE())*K18,0)</f>
        <v>0</v>
      </c>
      <c r="R18" s="100" t="n">
        <f aca="false">IFERROR(VLOOKUP(N18,'PREUS BASE MÒDULS'!$C$30:$F$30,4,FALSE()),0)</f>
        <v>0</v>
      </c>
      <c r="S18" s="100" t="n">
        <f aca="false">IFERROR((VLOOKUP(O18,'PREUS BASE MÒDULS'!$C$27:$D$27,2,FALSE())*K18),0)*2</f>
        <v>0</v>
      </c>
      <c r="T18" s="101" t="n">
        <f aca="false">IFERROR(+P18+Q18+S18+R18,0)</f>
        <v>0</v>
      </c>
      <c r="U18" s="99"/>
      <c r="V18" s="100"/>
      <c r="W18" s="102"/>
      <c r="X18" s="102"/>
      <c r="Y18" s="100" t="n">
        <f aca="false">IFERROR(VLOOKUP(V18,'PREUS BASE MÒDULS'!$C$11:$D$13,2,FALSE())*U18,0)</f>
        <v>0</v>
      </c>
      <c r="Z18" s="100" t="n">
        <f aca="false">IFERROR(VLOOKUP(W18,'PREUS BASE MÒDULS'!$C$24:$D$24,2,FALSE())*U18,0)</f>
        <v>0</v>
      </c>
      <c r="AA18" s="100" t="n">
        <f aca="false">IFERROR((VLOOKUP(X18,'PREUS BASE MÒDULS'!$C$27:$D$27,2,FALSE())*U18),0)*2</f>
        <v>0</v>
      </c>
      <c r="AB18" s="101" t="n">
        <f aca="false">IFERROR(+Y18+Z18+AA18,0)</f>
        <v>0</v>
      </c>
      <c r="AC18" s="99"/>
      <c r="AD18" s="100"/>
      <c r="AE18" s="102"/>
      <c r="AF18" s="102"/>
      <c r="AG18" s="100" t="n">
        <f aca="false">IFERROR(VLOOKUP(AD18,'PREUS BASE MÒDULS'!$C$14:$D$14,2,FALSE()),0)</f>
        <v>0</v>
      </c>
      <c r="AH18" s="100" t="n">
        <f aca="false">IFERROR(VLOOKUP(AE18,'PREUS BASE MÒDULS'!$C$24:$D$24,2,FALSE())*AC18,0)</f>
        <v>0</v>
      </c>
      <c r="AI18" s="100" t="n">
        <f aca="false">IFERROR((VLOOKUP(AF18,'PREUS BASE MÒDULS'!$C$27:$D$27,2,FALSE())*AC18),0)*2</f>
        <v>0</v>
      </c>
      <c r="AJ18" s="103" t="n">
        <f aca="false">IFERROR(+AG18+AH18+AI18,0)</f>
        <v>0</v>
      </c>
      <c r="AK18" s="104"/>
      <c r="AL18" s="104"/>
      <c r="AM18" s="100" t="n">
        <f aca="false">ROUND((+AH18+AG18+Z18+Y18+Q18+P18+H18+R18),2)</f>
        <v>465.69</v>
      </c>
      <c r="AN18" s="105" t="n">
        <f aca="false">ROUND((+AI18+AA18+S18+I18),5)</f>
        <v>372.6</v>
      </c>
      <c r="AO18" s="106" t="n">
        <f aca="false">ROUND((+AN18+AM18),7)</f>
        <v>838.29</v>
      </c>
      <c r="AP18" s="107" t="n">
        <f aca="false">AO18*1.21</f>
        <v>1014.3309</v>
      </c>
      <c r="AQ18" s="104"/>
      <c r="AR18" s="108" t="n">
        <f aca="false">IFERROR(AM18/AO18,"")</f>
        <v>0.555523744766131</v>
      </c>
      <c r="AS18" s="109" t="n">
        <f aca="false">IFERROR(AN18/AO18,"")</f>
        <v>0.444476255233869</v>
      </c>
      <c r="AT18" s="6"/>
      <c r="AU18" s="6"/>
      <c r="AV18" s="6"/>
      <c r="AW18" s="6"/>
    </row>
    <row r="19" customFormat="false" ht="24.75" hidden="false" customHeight="true" outlineLevel="0" collapsed="false">
      <c r="A19" s="6"/>
      <c r="B19" s="97" t="s">
        <v>46</v>
      </c>
      <c r="C19" s="98" t="s">
        <v>61</v>
      </c>
      <c r="D19" s="86"/>
      <c r="E19" s="99"/>
      <c r="F19" s="100"/>
      <c r="G19" s="100"/>
      <c r="H19" s="100" t="n">
        <f aca="false">IFERROR(VLOOKUP(F19,'PREUS BASE MÒDULS'!$C$5:$D$7,2,FALSE())*E19,0)</f>
        <v>0</v>
      </c>
      <c r="I19" s="100" t="n">
        <f aca="false">IFERROR((VLOOKUP(G19,'PREUS BASE MÒDULS'!$C$27:$D$27,2,FALSE())*E19),0)*2</f>
        <v>0</v>
      </c>
      <c r="J19" s="101" t="n">
        <f aca="false">IFERROR(+H19+I19,0)</f>
        <v>0</v>
      </c>
      <c r="K19" s="99" t="n">
        <v>2</v>
      </c>
      <c r="L19" s="100" t="s">
        <v>12</v>
      </c>
      <c r="M19" s="102" t="s">
        <v>25</v>
      </c>
      <c r="N19" s="102" t="s">
        <v>48</v>
      </c>
      <c r="O19" s="102" t="s">
        <v>27</v>
      </c>
      <c r="P19" s="100" t="n">
        <f aca="false">IFERROR(VLOOKUP(L19,'PREUS BASE MÒDULS'!$C$8:$D$10,2,FALSE())*K19,0)</f>
        <v>202.272</v>
      </c>
      <c r="Q19" s="100" t="n">
        <f aca="false">IFERROR(VLOOKUP(M19,'PREUS BASE MÒDULS'!$C$24:$D$24,2,FALSE())*K19,0)</f>
        <v>40.32</v>
      </c>
      <c r="R19" s="100" t="n">
        <f aca="false">IFERROR(VLOOKUP(N19,'PREUS BASE MÒDULS'!$C$30:$F$30,4,FALSE()),0)</f>
        <v>0</v>
      </c>
      <c r="S19" s="100" t="n">
        <f aca="false">IFERROR((VLOOKUP(O19,'PREUS BASE MÒDULS'!$C$27:$D$27,2,FALSE())*K19),0)*2</f>
        <v>248.4</v>
      </c>
      <c r="T19" s="101" t="n">
        <f aca="false">IFERROR(+P19+Q19+S19+R19,0)</f>
        <v>490.992</v>
      </c>
      <c r="U19" s="99"/>
      <c r="V19" s="100"/>
      <c r="W19" s="102"/>
      <c r="X19" s="102"/>
      <c r="Y19" s="100" t="n">
        <f aca="false">IFERROR(VLOOKUP(V19,'PREUS BASE MÒDULS'!$C$11:$D$13,2,FALSE())*U19,0)</f>
        <v>0</v>
      </c>
      <c r="Z19" s="100" t="n">
        <f aca="false">IFERROR(VLOOKUP(W19,'PREUS BASE MÒDULS'!$C$24:$D$24,2,FALSE())*U19,0)</f>
        <v>0</v>
      </c>
      <c r="AA19" s="100" t="n">
        <f aca="false">IFERROR((VLOOKUP(X19,'PREUS BASE MÒDULS'!$C$27:$D$27,2,FALSE())*U19),0)*2</f>
        <v>0</v>
      </c>
      <c r="AB19" s="101" t="n">
        <f aca="false">IFERROR(+Y19+Z19+AA19,0)</f>
        <v>0</v>
      </c>
      <c r="AC19" s="99"/>
      <c r="AD19" s="100"/>
      <c r="AE19" s="102"/>
      <c r="AF19" s="102"/>
      <c r="AG19" s="100" t="n">
        <f aca="false">IFERROR(VLOOKUP(AD19,'PREUS BASE MÒDULS'!$C$14:$D$14,2,FALSE()),0)</f>
        <v>0</v>
      </c>
      <c r="AH19" s="100" t="n">
        <f aca="false">IFERROR(VLOOKUP(AE19,'PREUS BASE MÒDULS'!$C$24:$D$24,2,FALSE())*AC19,0)</f>
        <v>0</v>
      </c>
      <c r="AI19" s="100" t="n">
        <f aca="false">IFERROR((VLOOKUP(AF19,'PREUS BASE MÒDULS'!$C$27:$D$27,2,FALSE())*AC19),0)*2</f>
        <v>0</v>
      </c>
      <c r="AJ19" s="103" t="n">
        <f aca="false">IFERROR(+AG19+AH19+AI19,0)</f>
        <v>0</v>
      </c>
      <c r="AK19" s="104"/>
      <c r="AL19" s="104"/>
      <c r="AM19" s="100" t="n">
        <f aca="false">ROUND((+AH19+AG19+Z19+Y19+Q19+P19+H19+R19),2)</f>
        <v>242.59</v>
      </c>
      <c r="AN19" s="105" t="n">
        <f aca="false">ROUND((+AI19+AA19+S19+I19),5)</f>
        <v>248.4</v>
      </c>
      <c r="AO19" s="106" t="n">
        <f aca="false">ROUND((+AN19+AM19),7)</f>
        <v>490.99</v>
      </c>
      <c r="AP19" s="107" t="n">
        <f aca="false">AO19*1.21</f>
        <v>594.0979</v>
      </c>
      <c r="AQ19" s="104"/>
      <c r="AR19" s="108" t="n">
        <f aca="false">IFERROR(AM19/AO19,"")</f>
        <v>0.494083382553616</v>
      </c>
      <c r="AS19" s="109" t="n">
        <f aca="false">IFERROR(AN19/AO19,"")</f>
        <v>0.505916617446384</v>
      </c>
      <c r="AT19" s="6"/>
      <c r="AU19" s="6"/>
      <c r="AV19" s="6"/>
      <c r="AW19" s="6"/>
    </row>
    <row r="20" customFormat="false" ht="24.75" hidden="false" customHeight="true" outlineLevel="0" collapsed="false">
      <c r="A20" s="6"/>
      <c r="B20" s="97" t="s">
        <v>46</v>
      </c>
      <c r="C20" s="98" t="s">
        <v>62</v>
      </c>
      <c r="D20" s="86"/>
      <c r="E20" s="99"/>
      <c r="F20" s="100"/>
      <c r="G20" s="100"/>
      <c r="H20" s="100"/>
      <c r="I20" s="100" t="n">
        <f aca="false">IFERROR((VLOOKUP(G20,'PREUS BASE MÒDULS'!$C$27:$D$27,2,FALSE())*E20),0)*2</f>
        <v>0</v>
      </c>
      <c r="J20" s="101"/>
      <c r="K20" s="99"/>
      <c r="L20" s="100"/>
      <c r="M20" s="102"/>
      <c r="N20" s="102"/>
      <c r="O20" s="102"/>
      <c r="P20" s="100"/>
      <c r="Q20" s="100"/>
      <c r="R20" s="100"/>
      <c r="S20" s="100" t="n">
        <f aca="false">IFERROR((VLOOKUP(O20,'PREUS BASE MÒDULS'!$C$27:$D$27,2,FALSE())*K20),0)*2</f>
        <v>0</v>
      </c>
      <c r="T20" s="101"/>
      <c r="U20" s="99" t="n">
        <v>1</v>
      </c>
      <c r="V20" s="100" t="s">
        <v>15</v>
      </c>
      <c r="W20" s="102"/>
      <c r="X20" s="102"/>
      <c r="Y20" s="100" t="n">
        <f aca="false">IFERROR(VLOOKUP(V20,'PREUS BASE MÒDULS'!$C$11:$D$13,2,FALSE())*U20,0)</f>
        <v>190.512</v>
      </c>
      <c r="Z20" s="100" t="n">
        <f aca="false">IFERROR(VLOOKUP(W20,'PREUS BASE MÒDULS'!$C$24:$D$24,2,FALSE())*U20,0)</f>
        <v>0</v>
      </c>
      <c r="AA20" s="100" t="n">
        <f aca="false">IFERROR((VLOOKUP(X20,'PREUS BASE MÒDULS'!$C$27:$D$27,2,FALSE())*U20),0)*2</f>
        <v>0</v>
      </c>
      <c r="AB20" s="101" t="n">
        <f aca="false">IFERROR(+Y20+Z20+AA20,0)</f>
        <v>190.512</v>
      </c>
      <c r="AC20" s="99" t="n">
        <v>1</v>
      </c>
      <c r="AD20" s="100" t="s">
        <v>18</v>
      </c>
      <c r="AE20" s="102"/>
      <c r="AF20" s="102"/>
      <c r="AG20" s="100" t="n">
        <f aca="false">IFERROR(VLOOKUP(AD20,'PREUS BASE MÒDULS'!$C$14:$D$14,2,FALSE()),0)</f>
        <v>352.8</v>
      </c>
      <c r="AH20" s="100" t="n">
        <f aca="false">IFERROR(VLOOKUP(AE20,'PREUS BASE MÒDULS'!$C$24:$D$24,2,FALSE())*AC20,0)</f>
        <v>0</v>
      </c>
      <c r="AI20" s="100" t="n">
        <f aca="false">IFERROR((VLOOKUP(AF20,'PREUS BASE MÒDULS'!$C$27:$D$27,2,FALSE())*AC20),0)*2</f>
        <v>0</v>
      </c>
      <c r="AJ20" s="103" t="n">
        <f aca="false">IFERROR(+AG20+AH20+AI20,0)</f>
        <v>352.8</v>
      </c>
      <c r="AK20" s="104"/>
      <c r="AL20" s="104"/>
      <c r="AM20" s="100" t="n">
        <f aca="false">ROUND((+AH20+AG20+Z20+Y20+Q20+P20+H20+R20),2)</f>
        <v>543.31</v>
      </c>
      <c r="AN20" s="105" t="n">
        <f aca="false">ROUND((+AI20+AA20+S20+I20),5)</f>
        <v>0</v>
      </c>
      <c r="AO20" s="106" t="n">
        <f aca="false">ROUND((+AN20+AM20),7)</f>
        <v>543.31</v>
      </c>
      <c r="AP20" s="107" t="n">
        <f aca="false">AO20*1.21</f>
        <v>657.4051</v>
      </c>
      <c r="AQ20" s="104"/>
      <c r="AR20" s="108" t="n">
        <f aca="false">IFERROR(AM20/AO20,"")</f>
        <v>1</v>
      </c>
      <c r="AS20" s="109" t="n">
        <f aca="false">IFERROR(AN20/AO20,"")</f>
        <v>0</v>
      </c>
      <c r="AT20" s="6"/>
      <c r="AU20" s="6"/>
      <c r="AV20" s="6"/>
      <c r="AW20" s="6"/>
    </row>
    <row r="21" customFormat="false" ht="24.75" hidden="false" customHeight="true" outlineLevel="0" collapsed="false">
      <c r="A21" s="6"/>
      <c r="B21" s="97" t="s">
        <v>63</v>
      </c>
      <c r="C21" s="98" t="s">
        <v>64</v>
      </c>
      <c r="D21" s="86"/>
      <c r="E21" s="99" t="n">
        <v>2</v>
      </c>
      <c r="F21" s="100" t="s">
        <v>9</v>
      </c>
      <c r="G21" s="100" t="s">
        <v>27</v>
      </c>
      <c r="H21" s="100" t="n">
        <f aca="false">IFERROR(VLOOKUP(F21,'PREUS BASE MÒDULS'!$C$5:$D$7,2,FALSE())*E21,0)</f>
        <v>310.46</v>
      </c>
      <c r="I21" s="100" t="n">
        <f aca="false">IFERROR((VLOOKUP(G21,'PREUS BASE MÒDULS'!$C$27:$D$27,2,FALSE())*E21),0)*2</f>
        <v>248.4</v>
      </c>
      <c r="J21" s="101" t="n">
        <f aca="false">IFERROR(+H21+I21,0)</f>
        <v>558.86</v>
      </c>
      <c r="K21" s="99" t="n">
        <v>2</v>
      </c>
      <c r="L21" s="100" t="s">
        <v>13</v>
      </c>
      <c r="M21" s="102" t="s">
        <v>25</v>
      </c>
      <c r="N21" s="102" t="s">
        <v>48</v>
      </c>
      <c r="O21" s="102" t="s">
        <v>27</v>
      </c>
      <c r="P21" s="100" t="n">
        <f aca="false">IFERROR(VLOOKUP(L21,'PREUS BASE MÒDULS'!$C$8:$D$10,2,FALSE())*K21,0)</f>
        <v>216.64</v>
      </c>
      <c r="Q21" s="100" t="n">
        <f aca="false">IFERROR(VLOOKUP(M21,'PREUS BASE MÒDULS'!$C$24:$D$24,2,FALSE())*K21,0)</f>
        <v>40.32</v>
      </c>
      <c r="R21" s="100" t="n">
        <f aca="false">IFERROR(VLOOKUP(N21,'PREUS BASE MÒDULS'!$C$30:$F$30,4,FALSE()),0)</f>
        <v>0</v>
      </c>
      <c r="S21" s="100" t="n">
        <f aca="false">IFERROR((VLOOKUP(O21,'PREUS BASE MÒDULS'!$C$27:$D$27,2,FALSE())*K21),0)*2</f>
        <v>248.4</v>
      </c>
      <c r="T21" s="101" t="n">
        <f aca="false">IFERROR(+P21+Q21+S21+R21,0)</f>
        <v>505.36</v>
      </c>
      <c r="U21" s="99"/>
      <c r="V21" s="100"/>
      <c r="W21" s="102"/>
      <c r="X21" s="102"/>
      <c r="Y21" s="100" t="n">
        <f aca="false">IFERROR(VLOOKUP(V21,'PREUS BASE MÒDULS'!$C$11:$D$13,2,FALSE())*U21,0)</f>
        <v>0</v>
      </c>
      <c r="Z21" s="100" t="n">
        <f aca="false">IFERROR(VLOOKUP(W21,'PREUS BASE MÒDULS'!$C$24:$D$24,2,FALSE())*U21,0)</f>
        <v>0</v>
      </c>
      <c r="AA21" s="100" t="n">
        <f aca="false">IFERROR((VLOOKUP(X21,'PREUS BASE MÒDULS'!$C$27:$D$27,2,FALSE())*U21),0)*2</f>
        <v>0</v>
      </c>
      <c r="AB21" s="101" t="n">
        <f aca="false">IFERROR(+Y21+Z21+AA21,0)</f>
        <v>0</v>
      </c>
      <c r="AC21" s="99"/>
      <c r="AD21" s="100"/>
      <c r="AE21" s="102"/>
      <c r="AF21" s="102"/>
      <c r="AG21" s="100" t="n">
        <f aca="false">IFERROR(VLOOKUP(AD21,'PREUS BASE MÒDULS'!$C$14:$D$14,2,FALSE()),0)</f>
        <v>0</v>
      </c>
      <c r="AH21" s="100" t="n">
        <f aca="false">IFERROR(VLOOKUP(AE21,'PREUS BASE MÒDULS'!$C$24:$D$24,2,FALSE())*AC21,0)</f>
        <v>0</v>
      </c>
      <c r="AI21" s="100" t="n">
        <f aca="false">IFERROR((VLOOKUP(AF21,'PREUS BASE MÒDULS'!$C$27:$D$27,2,FALSE())*AC21),0)*2</f>
        <v>0</v>
      </c>
      <c r="AJ21" s="103" t="n">
        <f aca="false">IFERROR(+AG21+AH21+AI21,0)</f>
        <v>0</v>
      </c>
      <c r="AK21" s="104"/>
      <c r="AL21" s="104"/>
      <c r="AM21" s="100" t="n">
        <f aca="false">ROUND((+AH21+AG21+Z21+Y21+Q21+P21+H21+R21),2)</f>
        <v>567.42</v>
      </c>
      <c r="AN21" s="105" t="n">
        <f aca="false">ROUND((+AI21+AA21+S21+I21),5)</f>
        <v>496.8</v>
      </c>
      <c r="AO21" s="106" t="n">
        <f aca="false">ROUND((+AN21+AM21),7)</f>
        <v>1064.22</v>
      </c>
      <c r="AP21" s="107" t="n">
        <f aca="false">AO21*1.21</f>
        <v>1287.7062</v>
      </c>
      <c r="AQ21" s="104"/>
      <c r="AR21" s="108" t="n">
        <f aca="false">IFERROR(AM21/AO21,"")</f>
        <v>0.533179229858488</v>
      </c>
      <c r="AS21" s="109" t="n">
        <f aca="false">IFERROR(AN21/AO21,"")</f>
        <v>0.466820770141512</v>
      </c>
      <c r="AT21" s="6"/>
      <c r="AU21" s="6"/>
      <c r="AV21" s="6"/>
      <c r="AW21" s="6"/>
    </row>
    <row r="22" customFormat="false" ht="24.75" hidden="false" customHeight="true" outlineLevel="0" collapsed="false">
      <c r="A22" s="6"/>
      <c r="B22" s="97" t="s">
        <v>63</v>
      </c>
      <c r="C22" s="98" t="s">
        <v>65</v>
      </c>
      <c r="D22" s="86"/>
      <c r="E22" s="99" t="n">
        <v>1</v>
      </c>
      <c r="F22" s="100" t="s">
        <v>9</v>
      </c>
      <c r="G22" s="100" t="s">
        <v>27</v>
      </c>
      <c r="H22" s="100" t="n">
        <f aca="false">IFERROR(VLOOKUP(F22,'PREUS BASE MÒDULS'!$C$5:$D$7,2,FALSE())*E22,0)</f>
        <v>155.23</v>
      </c>
      <c r="I22" s="100" t="n">
        <f aca="false">IFERROR((VLOOKUP(G22,'PREUS BASE MÒDULS'!$C$27:$D$27,2,FALSE())*E22),0)*2</f>
        <v>124.2</v>
      </c>
      <c r="J22" s="101" t="n">
        <f aca="false">IFERROR(+H22+I22,0)</f>
        <v>279.43</v>
      </c>
      <c r="K22" s="99" t="n">
        <v>1</v>
      </c>
      <c r="L22" s="100" t="s">
        <v>13</v>
      </c>
      <c r="M22" s="102" t="s">
        <v>25</v>
      </c>
      <c r="N22" s="102" t="s">
        <v>48</v>
      </c>
      <c r="O22" s="102" t="s">
        <v>27</v>
      </c>
      <c r="P22" s="100" t="n">
        <f aca="false">IFERROR(VLOOKUP(L22,'PREUS BASE MÒDULS'!$C$8:$D$10,2,FALSE())*K22,0)</f>
        <v>108.32</v>
      </c>
      <c r="Q22" s="100" t="n">
        <f aca="false">IFERROR(VLOOKUP(M22,'PREUS BASE MÒDULS'!$C$24:$D$24,2,FALSE())*K22,0)</f>
        <v>20.16</v>
      </c>
      <c r="R22" s="100" t="n">
        <f aca="false">IFERROR(VLOOKUP(N22,'PREUS BASE MÒDULS'!$C$30:$F$30,4,FALSE()),0)</f>
        <v>0</v>
      </c>
      <c r="S22" s="100" t="n">
        <f aca="false">IFERROR((VLOOKUP(O22,'PREUS BASE MÒDULS'!$C$27:$D$27,2,FALSE())*K22),0)*2</f>
        <v>124.2</v>
      </c>
      <c r="T22" s="101" t="n">
        <f aca="false">IFERROR(+P22+Q22+S22+R22,0)</f>
        <v>252.68</v>
      </c>
      <c r="U22" s="99"/>
      <c r="V22" s="100"/>
      <c r="W22" s="102"/>
      <c r="X22" s="102"/>
      <c r="Y22" s="100" t="n">
        <f aca="false">IFERROR(VLOOKUP(V22,'PREUS BASE MÒDULS'!$C$11:$D$13,2,FALSE())*U22,0)</f>
        <v>0</v>
      </c>
      <c r="Z22" s="100" t="n">
        <f aca="false">IFERROR(VLOOKUP(W22,'PREUS BASE MÒDULS'!$C$24:$D$24,2,FALSE())*U22,0)</f>
        <v>0</v>
      </c>
      <c r="AA22" s="100" t="n">
        <f aca="false">IFERROR((VLOOKUP(X22,'PREUS BASE MÒDULS'!$C$27:$D$27,2,FALSE())*U22),0)*2</f>
        <v>0</v>
      </c>
      <c r="AB22" s="101" t="n">
        <f aca="false">IFERROR(+Y22+Z22+AA22,0)</f>
        <v>0</v>
      </c>
      <c r="AC22" s="99"/>
      <c r="AD22" s="100"/>
      <c r="AE22" s="102"/>
      <c r="AF22" s="102"/>
      <c r="AG22" s="100" t="n">
        <f aca="false">IFERROR(VLOOKUP(AD22,'PREUS BASE MÒDULS'!$C$14:$D$14,2,FALSE()),0)</f>
        <v>0</v>
      </c>
      <c r="AH22" s="100" t="n">
        <f aca="false">IFERROR(VLOOKUP(AE22,'PREUS BASE MÒDULS'!$C$24:$D$24,2,FALSE())*AC22,0)</f>
        <v>0</v>
      </c>
      <c r="AI22" s="100" t="n">
        <f aca="false">IFERROR((VLOOKUP(AF22,'PREUS BASE MÒDULS'!$C$27:$D$27,2,FALSE())*AC22),0)*2</f>
        <v>0</v>
      </c>
      <c r="AJ22" s="103" t="n">
        <f aca="false">IFERROR(+AG22+AH22+AI22,0)</f>
        <v>0</v>
      </c>
      <c r="AK22" s="104"/>
      <c r="AL22" s="104"/>
      <c r="AM22" s="100" t="n">
        <f aca="false">ROUND((+AH22+AG22+Z22+Y22+Q22+P22+H22+R22),2)</f>
        <v>283.71</v>
      </c>
      <c r="AN22" s="105" t="n">
        <f aca="false">ROUND((+AI22+AA22+S22+I22),5)</f>
        <v>248.4</v>
      </c>
      <c r="AO22" s="106" t="n">
        <f aca="false">ROUND((+AN22+AM22),7)</f>
        <v>532.11</v>
      </c>
      <c r="AP22" s="107" t="n">
        <f aca="false">AO22*1.21</f>
        <v>643.8531</v>
      </c>
      <c r="AQ22" s="104"/>
      <c r="AR22" s="108" t="n">
        <f aca="false">IFERROR(AM22/AO22,"")</f>
        <v>0.533179229858488</v>
      </c>
      <c r="AS22" s="109" t="n">
        <f aca="false">IFERROR(AN22/AO22,"")</f>
        <v>0.466820770141512</v>
      </c>
      <c r="AT22" s="6"/>
      <c r="AU22" s="6"/>
      <c r="AV22" s="6"/>
      <c r="AW22" s="6"/>
    </row>
    <row r="23" customFormat="false" ht="24.75" hidden="false" customHeight="true" outlineLevel="0" collapsed="false">
      <c r="A23" s="6"/>
      <c r="B23" s="97" t="s">
        <v>63</v>
      </c>
      <c r="C23" s="98" t="s">
        <v>66</v>
      </c>
      <c r="D23" s="86"/>
      <c r="E23" s="99"/>
      <c r="F23" s="100"/>
      <c r="G23" s="100"/>
      <c r="H23" s="100" t="n">
        <f aca="false">IFERROR(VLOOKUP(F23,'PREUS BASE MÒDULS'!$C$5:$F$7,4,FALSE())*E23,0)</f>
        <v>0</v>
      </c>
      <c r="I23" s="100" t="n">
        <f aca="false">IFERROR((VLOOKUP(G23,'PREUS BASE MÒDULS'!$C$27:$D$27,2,FALSE())*E23),0)*2</f>
        <v>0</v>
      </c>
      <c r="J23" s="101" t="n">
        <f aca="false">IFERROR(+H23+I23,0)</f>
        <v>0</v>
      </c>
      <c r="K23" s="99" t="n">
        <v>1</v>
      </c>
      <c r="L23" s="100" t="s">
        <v>13</v>
      </c>
      <c r="M23" s="102" t="s">
        <v>48</v>
      </c>
      <c r="N23" s="102" t="s">
        <v>48</v>
      </c>
      <c r="O23" s="102" t="s">
        <v>27</v>
      </c>
      <c r="P23" s="100" t="n">
        <f aca="false">IFERROR(VLOOKUP(L23,'PREUS BASE MÒDULS'!$C$20:$D$21,2,FALSE())*K23,0)*12</f>
        <v>1249.2</v>
      </c>
      <c r="Q23" s="100" t="n">
        <f aca="false">IFERROR(VLOOKUP(M23,'PREUS BASE MÒDULS'!$C$24:$D$24,2,FALSE())*K23,0)</f>
        <v>0</v>
      </c>
      <c r="R23" s="100" t="n">
        <f aca="false">IFERROR(VLOOKUP(N23,'PREUS BASE MÒDULS'!$C$30:$F$30,4,FALSE()),0)</f>
        <v>0</v>
      </c>
      <c r="S23" s="100" t="n">
        <f aca="false">IFERROR((VLOOKUP(O23,'PREUS BASE MÒDULS'!$C$27:$D$27,2,FALSE())*K23),0)*2</f>
        <v>124.2</v>
      </c>
      <c r="T23" s="101" t="n">
        <f aca="false">IFERROR(+P23+Q23+S23+R23,0)</f>
        <v>1373.4</v>
      </c>
      <c r="U23" s="99"/>
      <c r="V23" s="100"/>
      <c r="W23" s="102"/>
      <c r="X23" s="102"/>
      <c r="Y23" s="100" t="n">
        <f aca="false">IFERROR(VLOOKUP(V23,'PREUS BASE MÒDULS'!$C$11:$D$13,2,FALSE())*U23,0)</f>
        <v>0</v>
      </c>
      <c r="Z23" s="100" t="n">
        <f aca="false">IFERROR(VLOOKUP(W23,'PREUS BASE MÒDULS'!$C$24:$D$24,2,FALSE())*U23,0)</f>
        <v>0</v>
      </c>
      <c r="AA23" s="100" t="n">
        <f aca="false">IFERROR((VLOOKUP(X23,'PREUS BASE MÒDULS'!$C$27:$D$27,2,FALSE())*U23),0)*2</f>
        <v>0</v>
      </c>
      <c r="AB23" s="101" t="n">
        <f aca="false">IFERROR(+Y23+Z23+AA23,0)</f>
        <v>0</v>
      </c>
      <c r="AC23" s="99"/>
      <c r="AD23" s="100"/>
      <c r="AE23" s="102"/>
      <c r="AF23" s="102"/>
      <c r="AG23" s="100" t="n">
        <f aca="false">IFERROR(VLOOKUP(AD23,'PREUS BASE MÒDULS'!$C$14:$D$14,2,FALSE()),0)</f>
        <v>0</v>
      </c>
      <c r="AH23" s="100" t="n">
        <f aca="false">IFERROR(VLOOKUP(AE23,'PREUS BASE MÒDULS'!$C$24:$D$24,2,FALSE())*AC23,0)</f>
        <v>0</v>
      </c>
      <c r="AI23" s="100" t="n">
        <f aca="false">IFERROR((VLOOKUP(AF23,'PREUS BASE MÒDULS'!$C$27:$D$27,2,FALSE())*AC23),0)*2</f>
        <v>0</v>
      </c>
      <c r="AJ23" s="103" t="n">
        <f aca="false">IFERROR(+AG23+AH23+AI23,0)</f>
        <v>0</v>
      </c>
      <c r="AK23" s="104"/>
      <c r="AL23" s="104"/>
      <c r="AM23" s="100" t="n">
        <f aca="false">ROUND((+AH23+AG23+Z23+Y23+Q23+P23+H23+R23),2)</f>
        <v>1249.2</v>
      </c>
      <c r="AN23" s="105" t="n">
        <f aca="false">ROUND((+AI23+AA23+S23+I23),5)</f>
        <v>124.2</v>
      </c>
      <c r="AO23" s="106" t="n">
        <f aca="false">ROUND((+AN23+AM23),7)</f>
        <v>1373.4</v>
      </c>
      <c r="AP23" s="107" t="n">
        <f aca="false">AO23*1.21</f>
        <v>1661.814</v>
      </c>
      <c r="AQ23" s="104"/>
      <c r="AR23" s="108" t="n">
        <f aca="false">IFERROR(AM23/AO23,"")</f>
        <v>0.90956749672346</v>
      </c>
      <c r="AS23" s="109" t="n">
        <f aca="false">IFERROR(AN23/AO23,"")</f>
        <v>0.09043250327654</v>
      </c>
      <c r="AT23" s="6"/>
      <c r="AU23" s="6"/>
      <c r="AV23" s="6"/>
      <c r="AW23" s="6"/>
    </row>
    <row r="24" customFormat="false" ht="24.75" hidden="false" customHeight="true" outlineLevel="0" collapsed="false">
      <c r="A24" s="6"/>
      <c r="B24" s="97" t="s">
        <v>63</v>
      </c>
      <c r="C24" s="98" t="s">
        <v>67</v>
      </c>
      <c r="D24" s="86"/>
      <c r="E24" s="99" t="n">
        <v>2</v>
      </c>
      <c r="F24" s="100" t="s">
        <v>9</v>
      </c>
      <c r="G24" s="100" t="s">
        <v>27</v>
      </c>
      <c r="H24" s="100" t="n">
        <f aca="false">IFERROR(VLOOKUP(F24,'PREUS BASE MÒDULS'!$C$15:$D$18,2,FALSE())*E24,0)*8</f>
        <v>2150.4</v>
      </c>
      <c r="I24" s="100" t="n">
        <f aca="false">IFERROR((VLOOKUP(G24,'PREUS BASE MÒDULS'!$C$27:$D$27,2,FALSE())*E24),0)*2</f>
        <v>248.4</v>
      </c>
      <c r="J24" s="101" t="n">
        <f aca="false">IFERROR(+H24+I24,0)</f>
        <v>2398.8</v>
      </c>
      <c r="K24" s="99" t="n">
        <v>1</v>
      </c>
      <c r="L24" s="100" t="s">
        <v>11</v>
      </c>
      <c r="M24" s="102" t="s">
        <v>25</v>
      </c>
      <c r="N24" s="102" t="s">
        <v>48</v>
      </c>
      <c r="O24" s="102" t="s">
        <v>27</v>
      </c>
      <c r="P24" s="100" t="n">
        <f aca="false">IFERROR(VLOOKUP(L24,'PREUS BASE MÒDULS'!$C$19:$D$20,2,FALSE())*K24,0)*8</f>
        <v>716.8</v>
      </c>
      <c r="Q24" s="100" t="n">
        <f aca="false">IFERROR(VLOOKUP(M24,'PREUS BASE MÒDULS'!$C$24:$D$24,2,FALSE())*K24,0)</f>
        <v>20.16</v>
      </c>
      <c r="R24" s="100" t="n">
        <f aca="false">IFERROR(VLOOKUP(N24,'PREUS BASE MÒDULS'!$C$30:$F$30,4,FALSE()),0)</f>
        <v>0</v>
      </c>
      <c r="S24" s="100" t="n">
        <f aca="false">IFERROR((VLOOKUP(O24,'PREUS BASE MÒDULS'!$C$27:$D$27,2,FALSE())*K24),0)*2</f>
        <v>124.2</v>
      </c>
      <c r="T24" s="101" t="n">
        <f aca="false">IFERROR(+P24+Q24+S24+R24,0)</f>
        <v>861.16</v>
      </c>
      <c r="U24" s="99"/>
      <c r="V24" s="100"/>
      <c r="W24" s="102"/>
      <c r="X24" s="102"/>
      <c r="Y24" s="100" t="n">
        <f aca="false">IFERROR(VLOOKUP(V24,'PREUS BASE MÒDULS'!$C$11:$D$13,2,FALSE())*U24,0)</f>
        <v>0</v>
      </c>
      <c r="Z24" s="100" t="n">
        <f aca="false">IFERROR(VLOOKUP(W24,'PREUS BASE MÒDULS'!$C$24:$D$24,2,FALSE())*U24,0)</f>
        <v>0</v>
      </c>
      <c r="AA24" s="100" t="n">
        <f aca="false">IFERROR((VLOOKUP(X24,'PREUS BASE MÒDULS'!$C$27:$D$27,2,FALSE())*U24),0)*2</f>
        <v>0</v>
      </c>
      <c r="AB24" s="101" t="n">
        <f aca="false">IFERROR(+Y24+Z24+AA24,0)</f>
        <v>0</v>
      </c>
      <c r="AC24" s="99"/>
      <c r="AD24" s="100"/>
      <c r="AE24" s="102"/>
      <c r="AF24" s="102"/>
      <c r="AG24" s="100" t="n">
        <f aca="false">IFERROR(VLOOKUP(AD24,'PREUS BASE MÒDULS'!$C$14:$D$14,2,FALSE()),0)</f>
        <v>0</v>
      </c>
      <c r="AH24" s="100" t="n">
        <f aca="false">IFERROR(VLOOKUP(AE24,'PREUS BASE MÒDULS'!$C$24:$D$24,2,FALSE())*AC24,0)</f>
        <v>0</v>
      </c>
      <c r="AI24" s="100" t="n">
        <f aca="false">IFERROR((VLOOKUP(AF24,'PREUS BASE MÒDULS'!$C$27:$D$27,2,FALSE())*AC24),0)*2</f>
        <v>0</v>
      </c>
      <c r="AJ24" s="103" t="n">
        <f aca="false">IFERROR(+AG24+AH24+AI24,0)</f>
        <v>0</v>
      </c>
      <c r="AK24" s="104"/>
      <c r="AL24" s="104"/>
      <c r="AM24" s="100" t="n">
        <f aca="false">ROUND((+AH24+AG24+Z24+Y24+Q24+P24+H24+R24),2)</f>
        <v>2887.36</v>
      </c>
      <c r="AN24" s="105" t="n">
        <f aca="false">ROUND((+AI24+AA24+S24+I24),5)</f>
        <v>372.6</v>
      </c>
      <c r="AO24" s="106" t="n">
        <f aca="false">ROUND((+AN24+AM24),7)</f>
        <v>3259.96</v>
      </c>
      <c r="AP24" s="107" t="n">
        <f aca="false">AO24*1.21</f>
        <v>3944.5516</v>
      </c>
      <c r="AQ24" s="104"/>
      <c r="AR24" s="108" t="n">
        <f aca="false">IFERROR(AM24/AO24,"")</f>
        <v>0.885704119068946</v>
      </c>
      <c r="AS24" s="109" t="n">
        <f aca="false">IFERROR(AN24/AO24,"")</f>
        <v>0.114295880931054</v>
      </c>
      <c r="AT24" s="6"/>
      <c r="AU24" s="6"/>
      <c r="AV24" s="6"/>
      <c r="AW24" s="6"/>
    </row>
    <row r="25" customFormat="false" ht="24.75" hidden="false" customHeight="true" outlineLevel="0" collapsed="false">
      <c r="A25" s="6"/>
      <c r="B25" s="97" t="s">
        <v>63</v>
      </c>
      <c r="C25" s="98" t="s">
        <v>68</v>
      </c>
      <c r="D25" s="86"/>
      <c r="E25" s="99" t="n">
        <v>1</v>
      </c>
      <c r="F25" s="100" t="s">
        <v>9</v>
      </c>
      <c r="G25" s="100" t="s">
        <v>27</v>
      </c>
      <c r="H25" s="100" t="n">
        <f aca="false">IFERROR(VLOOKUP(F25,'PREUS BASE MÒDULS'!$C$15:$D$18,2,FALSE())*E25,0)*8</f>
        <v>1075.2</v>
      </c>
      <c r="I25" s="100" t="n">
        <f aca="false">IFERROR((VLOOKUP(G25,'PREUS BASE MÒDULS'!$C$27:$D$27,2,FALSE())*E25),0)*2</f>
        <v>124.2</v>
      </c>
      <c r="J25" s="101" t="n">
        <f aca="false">IFERROR(+H25+I25,0)</f>
        <v>1199.4</v>
      </c>
      <c r="K25" s="99"/>
      <c r="L25" s="100"/>
      <c r="M25" s="102"/>
      <c r="N25" s="102"/>
      <c r="O25" s="102"/>
      <c r="P25" s="100" t="n">
        <f aca="false">IFERROR(VLOOKUP(L25,'PREUS BASE MÒDULS'!$C$8:$F$10,4,FALSE())*K25,0)</f>
        <v>0</v>
      </c>
      <c r="Q25" s="100" t="n">
        <f aca="false">IFERROR(VLOOKUP(M25,'PREUS BASE MÒDULS'!$C$24:$D$24,2,FALSE())*K25,0)</f>
        <v>0</v>
      </c>
      <c r="R25" s="100" t="n">
        <f aca="false">IFERROR(VLOOKUP(N25,'PREUS BASE MÒDULS'!$C$30:$F$30,4,FALSE()),0)</f>
        <v>0</v>
      </c>
      <c r="S25" s="100" t="n">
        <f aca="false">IFERROR((VLOOKUP(O25,'PREUS BASE MÒDULS'!$C$27:$D$27,2,FALSE())*K25),0)*2</f>
        <v>0</v>
      </c>
      <c r="T25" s="101" t="n">
        <f aca="false">IFERROR(+P25+Q25+S25+R25,0)</f>
        <v>0</v>
      </c>
      <c r="U25" s="99"/>
      <c r="V25" s="100"/>
      <c r="W25" s="102"/>
      <c r="X25" s="102"/>
      <c r="Y25" s="100" t="n">
        <f aca="false">IFERROR(VLOOKUP(V25,'PREUS BASE MÒDULS'!$C$11:$D$13,2,FALSE())*U25,0)</f>
        <v>0</v>
      </c>
      <c r="Z25" s="100" t="n">
        <f aca="false">IFERROR(VLOOKUP(W25,'PREUS BASE MÒDULS'!$C$24:$D$24,2,FALSE())*U25,0)</f>
        <v>0</v>
      </c>
      <c r="AA25" s="100" t="n">
        <f aca="false">IFERROR((VLOOKUP(X25,'PREUS BASE MÒDULS'!$C$27:$D$27,2,FALSE())*U25),0)*2</f>
        <v>0</v>
      </c>
      <c r="AB25" s="101" t="n">
        <f aca="false">IFERROR(+Y25+Z25+AA25,0)</f>
        <v>0</v>
      </c>
      <c r="AC25" s="99"/>
      <c r="AD25" s="100"/>
      <c r="AE25" s="102"/>
      <c r="AF25" s="102"/>
      <c r="AG25" s="100" t="n">
        <f aca="false">IFERROR(VLOOKUP(AD25,'PREUS BASE MÒDULS'!$C$14:$D$14,2,FALSE()),0)</f>
        <v>0</v>
      </c>
      <c r="AH25" s="100" t="n">
        <f aca="false">IFERROR(VLOOKUP(AE25,'PREUS BASE MÒDULS'!$C$24:$D$24,2,FALSE())*AC25,0)</f>
        <v>0</v>
      </c>
      <c r="AI25" s="100" t="n">
        <f aca="false">IFERROR((VLOOKUP(AF25,'PREUS BASE MÒDULS'!$C$27:$D$27,2,FALSE())*AC25),0)*2</f>
        <v>0</v>
      </c>
      <c r="AJ25" s="103" t="n">
        <f aca="false">IFERROR(+AG25+AH25+AI25,0)</f>
        <v>0</v>
      </c>
      <c r="AK25" s="104"/>
      <c r="AL25" s="104"/>
      <c r="AM25" s="100" t="n">
        <f aca="false">ROUND((+AH25+AG25+Z25+Y25+Q25+P25+H25+R25),2)</f>
        <v>1075.2</v>
      </c>
      <c r="AN25" s="105" t="n">
        <f aca="false">ROUND((+AI25+AA25+S25+I25),5)</f>
        <v>124.2</v>
      </c>
      <c r="AO25" s="106" t="n">
        <f aca="false">ROUND((+AN25+AM25),7)</f>
        <v>1199.4</v>
      </c>
      <c r="AP25" s="107" t="n">
        <f aca="false">AO25*1.21</f>
        <v>1451.274</v>
      </c>
      <c r="AQ25" s="104"/>
      <c r="AR25" s="108" t="n">
        <f aca="false">IFERROR(AM25/AO25,"")</f>
        <v>0.896448224112056</v>
      </c>
      <c r="AS25" s="109" t="n">
        <f aca="false">IFERROR(AN25/AO25,"")</f>
        <v>0.103551775887944</v>
      </c>
      <c r="AT25" s="6"/>
      <c r="AU25" s="6"/>
      <c r="AV25" s="6"/>
      <c r="AW25" s="6"/>
    </row>
    <row r="26" customFormat="false" ht="24.75" hidden="false" customHeight="true" outlineLevel="0" collapsed="false">
      <c r="A26" s="6"/>
      <c r="B26" s="97" t="s">
        <v>69</v>
      </c>
      <c r="C26" s="98" t="s">
        <v>70</v>
      </c>
      <c r="D26" s="86"/>
      <c r="E26" s="99"/>
      <c r="F26" s="100"/>
      <c r="G26" s="100"/>
      <c r="H26" s="100" t="n">
        <f aca="false">IFERROR(VLOOKUP(F26,'PREUS BASE MÒDULS'!$C$5:$F$7,4,FALSE())*E26,0)</f>
        <v>0</v>
      </c>
      <c r="I26" s="100" t="n">
        <f aca="false">IFERROR((VLOOKUP(G26,'PREUS BASE MÒDULS'!$C$27:$D$27,2,FALSE())*E26),0)*2</f>
        <v>0</v>
      </c>
      <c r="J26" s="101" t="n">
        <f aca="false">IFERROR(+H26+I26,0)</f>
        <v>0</v>
      </c>
      <c r="K26" s="99"/>
      <c r="L26" s="100"/>
      <c r="M26" s="102"/>
      <c r="N26" s="102"/>
      <c r="O26" s="102"/>
      <c r="P26" s="100" t="n">
        <f aca="false">IFERROR(VLOOKUP(L26,'PREUS BASE MÒDULS'!$C$8:$F$10,4,FALSE())*K26,0)</f>
        <v>0</v>
      </c>
      <c r="Q26" s="100" t="n">
        <f aca="false">IFERROR(VLOOKUP(M26,'PREUS BASE MÒDULS'!$C$24:$D$24,2,FALSE())*K26,0)</f>
        <v>0</v>
      </c>
      <c r="R26" s="100" t="n">
        <f aca="false">IFERROR(VLOOKUP(N26,'PREUS BASE MÒDULS'!$C$30:$F$30,4,FALSE()),0)</f>
        <v>0</v>
      </c>
      <c r="S26" s="100" t="n">
        <f aca="false">IFERROR((VLOOKUP(O26,'PREUS BASE MÒDULS'!$C$27:$D$27,2,FALSE())*K26),0)*2</f>
        <v>0</v>
      </c>
      <c r="T26" s="101" t="n">
        <f aca="false">IFERROR(+P26+Q26+S26+R26,0)</f>
        <v>0</v>
      </c>
      <c r="U26" s="99" t="n">
        <v>1</v>
      </c>
      <c r="V26" s="100" t="s">
        <v>16</v>
      </c>
      <c r="W26" s="102" t="s">
        <v>48</v>
      </c>
      <c r="X26" s="102" t="s">
        <v>27</v>
      </c>
      <c r="Y26" s="100" t="n">
        <f aca="false">IFERROR(VLOOKUP(V26,'PREUS BASE MÒDULS'!$C$11:$D$13,2,FALSE())*U26,0)</f>
        <v>240.6096</v>
      </c>
      <c r="Z26" s="100" t="n">
        <f aca="false">IFERROR(VLOOKUP(W26,'PREUS BASE MÒDULS'!$C$24:$D$24,2,FALSE())*U26,0)</f>
        <v>0</v>
      </c>
      <c r="AA26" s="100" t="n">
        <f aca="false">IFERROR((VLOOKUP(X26,'PREUS BASE MÒDULS'!$C$27:$D$27,2,FALSE())*U26),0)*2</f>
        <v>124.2</v>
      </c>
      <c r="AB26" s="101" t="n">
        <f aca="false">IFERROR(+Y26+Z26+AA26,0)</f>
        <v>364.8096</v>
      </c>
      <c r="AC26" s="99"/>
      <c r="AD26" s="100"/>
      <c r="AE26" s="102"/>
      <c r="AF26" s="102"/>
      <c r="AG26" s="100" t="n">
        <f aca="false">IFERROR(VLOOKUP(AD26,'PREUS BASE MÒDULS'!$C$14:$D$14,2,FALSE()),0)</f>
        <v>0</v>
      </c>
      <c r="AH26" s="100" t="n">
        <f aca="false">IFERROR(VLOOKUP(AE26,'PREUS BASE MÒDULS'!$C$24:$D$24,2,FALSE())*AC26,0)</f>
        <v>0</v>
      </c>
      <c r="AI26" s="100" t="n">
        <f aca="false">IFERROR((VLOOKUP(AF26,'PREUS BASE MÒDULS'!$C$27:$D$27,2,FALSE())*AC26),0)*2</f>
        <v>0</v>
      </c>
      <c r="AJ26" s="103" t="n">
        <f aca="false">IFERROR(+AG26+AH26+AI26,0)</f>
        <v>0</v>
      </c>
      <c r="AK26" s="104"/>
      <c r="AL26" s="104"/>
      <c r="AM26" s="100" t="n">
        <f aca="false">ROUND((+AH26+AG26+Z26+Y26+Q26+P26+H26+R26),2)</f>
        <v>240.61</v>
      </c>
      <c r="AN26" s="105" t="n">
        <f aca="false">ROUND((+AI26+AA26+S26+I26),5)</f>
        <v>124.2</v>
      </c>
      <c r="AO26" s="106" t="n">
        <f aca="false">ROUND((+AN26+AM26),7)</f>
        <v>364.81</v>
      </c>
      <c r="AP26" s="107" t="n">
        <f aca="false">AO26*1.21</f>
        <v>441.4201</v>
      </c>
      <c r="AQ26" s="104"/>
      <c r="AR26" s="108" t="n">
        <f aca="false">IFERROR(AM26/AO26,"")</f>
        <v>0.6595488062279</v>
      </c>
      <c r="AS26" s="109" t="n">
        <f aca="false">IFERROR(AN26/AO26,"")</f>
        <v>0.340451193772101</v>
      </c>
      <c r="AT26" s="6"/>
      <c r="AU26" s="6"/>
      <c r="AV26" s="6"/>
      <c r="AW26" s="6"/>
    </row>
    <row r="27" customFormat="false" ht="24.75" hidden="false" customHeight="true" outlineLevel="0" collapsed="false">
      <c r="A27" s="6"/>
      <c r="B27" s="97" t="s">
        <v>69</v>
      </c>
      <c r="C27" s="98" t="s">
        <v>71</v>
      </c>
      <c r="D27" s="86"/>
      <c r="E27" s="99"/>
      <c r="F27" s="100"/>
      <c r="G27" s="100"/>
      <c r="H27" s="100" t="n">
        <f aca="false">IFERROR(VLOOKUP(F27,'PREUS BASE MÒDULS'!$C$5:$F$7,4,FALSE())*E27,0)</f>
        <v>0</v>
      </c>
      <c r="I27" s="100" t="n">
        <f aca="false">IFERROR((VLOOKUP(G27,'PREUS BASE MÒDULS'!$C$27:$D$27,2,FALSE())*E27),0)*2</f>
        <v>0</v>
      </c>
      <c r="J27" s="101" t="n">
        <f aca="false">IFERROR(+H27+I27,0)</f>
        <v>0</v>
      </c>
      <c r="K27" s="99"/>
      <c r="L27" s="100"/>
      <c r="M27" s="102"/>
      <c r="N27" s="102"/>
      <c r="O27" s="102"/>
      <c r="P27" s="100" t="n">
        <f aca="false">IFERROR(VLOOKUP(L27,'PREUS BASE MÒDULS'!$C$8:$F$10,4,FALSE())*K27,0)</f>
        <v>0</v>
      </c>
      <c r="Q27" s="100" t="n">
        <f aca="false">IFERROR(VLOOKUP(M27,'PREUS BASE MÒDULS'!$C$24:$D$24,2,FALSE())*K27,0)</f>
        <v>0</v>
      </c>
      <c r="R27" s="100" t="n">
        <f aca="false">IFERROR(VLOOKUP(N27,'PREUS BASE MÒDULS'!$C$30:$F$30,4,FALSE()),0)</f>
        <v>0</v>
      </c>
      <c r="S27" s="100" t="n">
        <f aca="false">IFERROR((VLOOKUP(O27,'PREUS BASE MÒDULS'!$C$27:$D$27,2,FALSE())*K27),0)*2</f>
        <v>0</v>
      </c>
      <c r="T27" s="101" t="n">
        <f aca="false">IFERROR(+P27+Q27+S27+R27,0)</f>
        <v>0</v>
      </c>
      <c r="U27" s="99" t="n">
        <v>1</v>
      </c>
      <c r="V27" s="100" t="s">
        <v>16</v>
      </c>
      <c r="W27" s="102" t="s">
        <v>48</v>
      </c>
      <c r="X27" s="102" t="s">
        <v>27</v>
      </c>
      <c r="Y27" s="100" t="n">
        <f aca="false">IFERROR(VLOOKUP(V27,'PREUS BASE MÒDULS'!$C$11:$D$13,2,FALSE())*U27,0)</f>
        <v>240.6096</v>
      </c>
      <c r="Z27" s="100" t="n">
        <f aca="false">IFERROR(VLOOKUP(W27,'PREUS BASE MÒDULS'!$C$24:$D$24,2,FALSE())*U27,0)</f>
        <v>0</v>
      </c>
      <c r="AA27" s="100" t="n">
        <f aca="false">IFERROR((VLOOKUP(X27,'PREUS BASE MÒDULS'!$C$27:$D$27,2,FALSE())*U27),0)*2</f>
        <v>124.2</v>
      </c>
      <c r="AB27" s="101" t="n">
        <f aca="false">IFERROR(+Y27+Z27+AA27,0)</f>
        <v>364.8096</v>
      </c>
      <c r="AC27" s="99"/>
      <c r="AD27" s="100"/>
      <c r="AE27" s="102"/>
      <c r="AF27" s="102"/>
      <c r="AG27" s="100" t="n">
        <f aca="false">IFERROR(VLOOKUP(AD27,'PREUS BASE MÒDULS'!$C$14:$D$14,2,FALSE()),0)</f>
        <v>0</v>
      </c>
      <c r="AH27" s="100" t="n">
        <f aca="false">IFERROR(VLOOKUP(AE27,'PREUS BASE MÒDULS'!$C$24:$D$24,2,FALSE())*AC27,0)</f>
        <v>0</v>
      </c>
      <c r="AI27" s="100" t="n">
        <f aca="false">IFERROR((VLOOKUP(AF27,'PREUS BASE MÒDULS'!$C$27:$D$27,2,FALSE())*AC27),0)*2</f>
        <v>0</v>
      </c>
      <c r="AJ27" s="103" t="n">
        <f aca="false">IFERROR(+AG27+AH27+AI27,0)</f>
        <v>0</v>
      </c>
      <c r="AK27" s="104"/>
      <c r="AL27" s="104"/>
      <c r="AM27" s="100" t="n">
        <f aca="false">ROUND((+AH27+AG27+Z27+Y27+Q27+P27+H27+R27),2)</f>
        <v>240.61</v>
      </c>
      <c r="AN27" s="105" t="n">
        <f aca="false">ROUND((+AI27+AA27+S27+I27),5)</f>
        <v>124.2</v>
      </c>
      <c r="AO27" s="106" t="n">
        <f aca="false">ROUND((+AN27+AM27),7)</f>
        <v>364.81</v>
      </c>
      <c r="AP27" s="107" t="n">
        <f aca="false">AO27*1.21</f>
        <v>441.4201</v>
      </c>
      <c r="AQ27" s="104"/>
      <c r="AR27" s="108" t="n">
        <f aca="false">IFERROR(AM27/AO27,"")</f>
        <v>0.6595488062279</v>
      </c>
      <c r="AS27" s="109" t="n">
        <f aca="false">IFERROR(AN27/AO27,"")</f>
        <v>0.340451193772101</v>
      </c>
      <c r="AT27" s="6"/>
      <c r="AU27" s="6"/>
      <c r="AV27" s="6"/>
      <c r="AW27" s="6"/>
    </row>
    <row r="28" customFormat="false" ht="24.75" hidden="false" customHeight="true" outlineLevel="0" collapsed="false">
      <c r="A28" s="6"/>
      <c r="B28" s="97" t="s">
        <v>69</v>
      </c>
      <c r="C28" s="98" t="s">
        <v>72</v>
      </c>
      <c r="D28" s="86"/>
      <c r="E28" s="99"/>
      <c r="F28" s="100"/>
      <c r="G28" s="100"/>
      <c r="H28" s="100" t="n">
        <f aca="false">IFERROR(VLOOKUP(F28,'PREUS BASE MÒDULS'!$C$5:$F$7,4,FALSE())*E28,0)</f>
        <v>0</v>
      </c>
      <c r="I28" s="100" t="n">
        <f aca="false">IFERROR((VLOOKUP(G28,'PREUS BASE MÒDULS'!$C$27:$D$27,2,FALSE())*E28),0)*2</f>
        <v>0</v>
      </c>
      <c r="J28" s="101" t="n">
        <f aca="false">IFERROR(+H28+I28,0)</f>
        <v>0</v>
      </c>
      <c r="K28" s="99"/>
      <c r="L28" s="100"/>
      <c r="M28" s="102"/>
      <c r="N28" s="102"/>
      <c r="O28" s="102"/>
      <c r="P28" s="100" t="n">
        <f aca="false">IFERROR(VLOOKUP(L28,'PREUS BASE MÒDULS'!$C$8:$F$10,4,FALSE())*K28,0)</f>
        <v>0</v>
      </c>
      <c r="Q28" s="100" t="n">
        <f aca="false">IFERROR(VLOOKUP(M28,'PREUS BASE MÒDULS'!$C$24:$D$24,2,FALSE())*K28,0)</f>
        <v>0</v>
      </c>
      <c r="R28" s="100" t="n">
        <f aca="false">IFERROR(VLOOKUP(N28,'PREUS BASE MÒDULS'!$C$30:$F$30,4,FALSE()),0)</f>
        <v>0</v>
      </c>
      <c r="S28" s="100" t="n">
        <f aca="false">IFERROR((VLOOKUP(O28,'PREUS BASE MÒDULS'!$C$27:$D$27,2,FALSE())*K28),0)*2</f>
        <v>0</v>
      </c>
      <c r="T28" s="101" t="n">
        <f aca="false">IFERROR(+P28+Q28+S28+R28,0)</f>
        <v>0</v>
      </c>
      <c r="U28" s="99" t="n">
        <v>1</v>
      </c>
      <c r="V28" s="100" t="s">
        <v>16</v>
      </c>
      <c r="W28" s="102" t="s">
        <v>48</v>
      </c>
      <c r="X28" s="102" t="s">
        <v>27</v>
      </c>
      <c r="Y28" s="100" t="n">
        <f aca="false">IFERROR(VLOOKUP(V28,'PREUS BASE MÒDULS'!$C$11:$D$13,2,FALSE())*U28,0)</f>
        <v>240.6096</v>
      </c>
      <c r="Z28" s="100" t="n">
        <f aca="false">IFERROR(VLOOKUP(W28,'PREUS BASE MÒDULS'!$C$24:$D$24,2,FALSE())*U28,0)</f>
        <v>0</v>
      </c>
      <c r="AA28" s="100" t="n">
        <f aca="false">IFERROR((VLOOKUP(X28,'PREUS BASE MÒDULS'!$C$27:$D$27,2,FALSE())*U28),0)*2</f>
        <v>124.2</v>
      </c>
      <c r="AB28" s="101" t="n">
        <f aca="false">IFERROR(+Y28+Z28+AA28,0)</f>
        <v>364.8096</v>
      </c>
      <c r="AC28" s="99"/>
      <c r="AD28" s="100"/>
      <c r="AE28" s="102"/>
      <c r="AF28" s="102"/>
      <c r="AG28" s="100" t="n">
        <f aca="false">IFERROR(VLOOKUP(AD28,'PREUS BASE MÒDULS'!$C$14:$D$14,2,FALSE()),0)</f>
        <v>0</v>
      </c>
      <c r="AH28" s="100" t="n">
        <f aca="false">IFERROR(VLOOKUP(AE28,'PREUS BASE MÒDULS'!$C$24:$D$24,2,FALSE())*AC28,0)</f>
        <v>0</v>
      </c>
      <c r="AI28" s="100" t="n">
        <f aca="false">IFERROR((VLOOKUP(AF28,'PREUS BASE MÒDULS'!$C$27:$D$27,2,FALSE())*AC28),0)*2</f>
        <v>0</v>
      </c>
      <c r="AJ28" s="103" t="n">
        <f aca="false">IFERROR(+AG28+AH28+AI28,0)</f>
        <v>0</v>
      </c>
      <c r="AK28" s="104"/>
      <c r="AL28" s="104"/>
      <c r="AM28" s="100" t="n">
        <f aca="false">ROUND((+AH28+AG28+Z28+Y28+Q28+P28+H28+R28),2)</f>
        <v>240.61</v>
      </c>
      <c r="AN28" s="105" t="n">
        <f aca="false">ROUND((+AI28+AA28+S28+I28),5)</f>
        <v>124.2</v>
      </c>
      <c r="AO28" s="106" t="n">
        <f aca="false">ROUND((+AN28+AM28),7)</f>
        <v>364.81</v>
      </c>
      <c r="AP28" s="107" t="n">
        <f aca="false">AO28*1.21</f>
        <v>441.4201</v>
      </c>
      <c r="AQ28" s="104"/>
      <c r="AR28" s="108" t="n">
        <f aca="false">IFERROR(AM28/AO28,"")</f>
        <v>0.6595488062279</v>
      </c>
      <c r="AS28" s="109" t="n">
        <f aca="false">IFERROR(AN28/AO28,"")</f>
        <v>0.340451193772101</v>
      </c>
      <c r="AT28" s="6"/>
      <c r="AU28" s="6"/>
      <c r="AV28" s="6"/>
      <c r="AW28" s="6"/>
    </row>
    <row r="29" customFormat="false" ht="24.75" hidden="false" customHeight="true" outlineLevel="0" collapsed="false">
      <c r="A29" s="6"/>
      <c r="B29" s="97" t="s">
        <v>69</v>
      </c>
      <c r="C29" s="98" t="s">
        <v>73</v>
      </c>
      <c r="D29" s="86"/>
      <c r="E29" s="99"/>
      <c r="F29" s="100"/>
      <c r="G29" s="100"/>
      <c r="H29" s="100" t="n">
        <f aca="false">IFERROR(VLOOKUP(F29,'PREUS BASE MÒDULS'!$C$5:$F$7,4,FALSE())*E29,0)</f>
        <v>0</v>
      </c>
      <c r="I29" s="100" t="n">
        <f aca="false">IFERROR((VLOOKUP(G29,'PREUS BASE MÒDULS'!$C$27:$D$27,2,FALSE())*E29),0)*2</f>
        <v>0</v>
      </c>
      <c r="J29" s="101" t="n">
        <f aca="false">IFERROR(+H29+I29,0)</f>
        <v>0</v>
      </c>
      <c r="K29" s="99"/>
      <c r="L29" s="100"/>
      <c r="M29" s="102"/>
      <c r="N29" s="102"/>
      <c r="O29" s="102"/>
      <c r="P29" s="100" t="n">
        <f aca="false">IFERROR(VLOOKUP(L29,'PREUS BASE MÒDULS'!$C$8:$F$10,4,FALSE())*K29,0)</f>
        <v>0</v>
      </c>
      <c r="Q29" s="100" t="n">
        <f aca="false">IFERROR(VLOOKUP(M29,'PREUS BASE MÒDULS'!$C$24:$D$24,2,FALSE())*K29,0)</f>
        <v>0</v>
      </c>
      <c r="R29" s="100" t="n">
        <f aca="false">IFERROR(VLOOKUP(N29,'PREUS BASE MÒDULS'!$C$30:$F$30,4,FALSE()),0)</f>
        <v>0</v>
      </c>
      <c r="S29" s="100" t="n">
        <f aca="false">IFERROR((VLOOKUP(O29,'PREUS BASE MÒDULS'!$C$27:$D$27,2,FALSE())*K29),0)*2</f>
        <v>0</v>
      </c>
      <c r="T29" s="101" t="n">
        <f aca="false">IFERROR(+P29+Q29+S29+R29,0)</f>
        <v>0</v>
      </c>
      <c r="U29" s="99" t="n">
        <v>1</v>
      </c>
      <c r="V29" s="100" t="s">
        <v>16</v>
      </c>
      <c r="W29" s="102" t="s">
        <v>48</v>
      </c>
      <c r="X29" s="102" t="s">
        <v>27</v>
      </c>
      <c r="Y29" s="100" t="n">
        <f aca="false">IFERROR(VLOOKUP(V29,'PREUS BASE MÒDULS'!$C$11:$D$13,2,FALSE())*U29,0)</f>
        <v>240.6096</v>
      </c>
      <c r="Z29" s="100" t="n">
        <f aca="false">IFERROR(VLOOKUP(W29,'PREUS BASE MÒDULS'!$C$24:$D$24,2,FALSE())*U29,0)</f>
        <v>0</v>
      </c>
      <c r="AA29" s="100" t="n">
        <f aca="false">IFERROR((VLOOKUP(X29,'PREUS BASE MÒDULS'!$C$27:$D$27,2,FALSE())*U29),0)*2</f>
        <v>124.2</v>
      </c>
      <c r="AB29" s="101" t="n">
        <f aca="false">IFERROR(+Y29+Z29+AA29,0)</f>
        <v>364.8096</v>
      </c>
      <c r="AC29" s="99"/>
      <c r="AD29" s="100"/>
      <c r="AE29" s="102"/>
      <c r="AF29" s="102"/>
      <c r="AG29" s="100" t="n">
        <f aca="false">IFERROR(VLOOKUP(AD29,'PREUS BASE MÒDULS'!$C$14:$D$14,2,FALSE()),0)</f>
        <v>0</v>
      </c>
      <c r="AH29" s="100" t="n">
        <f aca="false">IFERROR(VLOOKUP(AE29,'PREUS BASE MÒDULS'!$C$24:$D$24,2,FALSE())*AC29,0)</f>
        <v>0</v>
      </c>
      <c r="AI29" s="100" t="n">
        <f aca="false">IFERROR((VLOOKUP(AF29,'PREUS BASE MÒDULS'!$C$27:$D$27,2,FALSE())*AC29),0)*2</f>
        <v>0</v>
      </c>
      <c r="AJ29" s="103" t="n">
        <f aca="false">IFERROR(+AG29+AH29+AI29,0)</f>
        <v>0</v>
      </c>
      <c r="AK29" s="104"/>
      <c r="AL29" s="104"/>
      <c r="AM29" s="100" t="n">
        <f aca="false">ROUND((+AH29+AG29+Z29+Y29+Q29+P29+H29+R29),2)</f>
        <v>240.61</v>
      </c>
      <c r="AN29" s="105" t="n">
        <f aca="false">ROUND((+AI29+AA29+S29+I29),5)</f>
        <v>124.2</v>
      </c>
      <c r="AO29" s="106" t="n">
        <f aca="false">ROUND((+AN29+AM29),7)</f>
        <v>364.81</v>
      </c>
      <c r="AP29" s="107" t="n">
        <f aca="false">AO29*1.21</f>
        <v>441.4201</v>
      </c>
      <c r="AQ29" s="104"/>
      <c r="AR29" s="108" t="n">
        <f aca="false">IFERROR(AM29/AO29,"")</f>
        <v>0.6595488062279</v>
      </c>
      <c r="AS29" s="109" t="n">
        <f aca="false">IFERROR(AN29/AO29,"")</f>
        <v>0.340451193772101</v>
      </c>
      <c r="AT29" s="6"/>
      <c r="AU29" s="6"/>
      <c r="AV29" s="6"/>
      <c r="AW29" s="6"/>
    </row>
    <row r="30" customFormat="false" ht="24.75" hidden="false" customHeight="true" outlineLevel="0" collapsed="false">
      <c r="A30" s="6"/>
      <c r="B30" s="97" t="s">
        <v>69</v>
      </c>
      <c r="C30" s="98" t="s">
        <v>74</v>
      </c>
      <c r="D30" s="86"/>
      <c r="E30" s="99"/>
      <c r="F30" s="100"/>
      <c r="G30" s="100"/>
      <c r="H30" s="100" t="n">
        <f aca="false">IFERROR(VLOOKUP(F30,'PREUS BASE MÒDULS'!$C$5:$F$7,4,FALSE())*E30,0)</f>
        <v>0</v>
      </c>
      <c r="I30" s="100" t="n">
        <f aca="false">IFERROR((VLOOKUP(G30,'PREUS BASE MÒDULS'!$C$27:$D$27,2,FALSE())*E30),0)*2</f>
        <v>0</v>
      </c>
      <c r="J30" s="101" t="n">
        <f aca="false">IFERROR(+H30+I30,0)</f>
        <v>0</v>
      </c>
      <c r="K30" s="99"/>
      <c r="L30" s="100"/>
      <c r="M30" s="102"/>
      <c r="N30" s="102"/>
      <c r="O30" s="102"/>
      <c r="P30" s="100" t="n">
        <f aca="false">IFERROR(VLOOKUP(L30,'PREUS BASE MÒDULS'!$C$8:$F$10,4,FALSE())*K30,0)</f>
        <v>0</v>
      </c>
      <c r="Q30" s="100" t="n">
        <f aca="false">IFERROR(VLOOKUP(M30,'PREUS BASE MÒDULS'!$C$24:$D$24,2,FALSE())*K30,0)</f>
        <v>0</v>
      </c>
      <c r="R30" s="100" t="n">
        <f aca="false">IFERROR(VLOOKUP(N30,'PREUS BASE MÒDULS'!$C$30:$F$30,4,FALSE()),0)</f>
        <v>0</v>
      </c>
      <c r="S30" s="100" t="n">
        <f aca="false">IFERROR((VLOOKUP(O30,'PREUS BASE MÒDULS'!$C$27:$D$27,2,FALSE())*K30),0)*2</f>
        <v>0</v>
      </c>
      <c r="T30" s="101" t="n">
        <f aca="false">IFERROR(+P30+Q30+S30+R30,0)</f>
        <v>0</v>
      </c>
      <c r="U30" s="99" t="n">
        <v>1</v>
      </c>
      <c r="V30" s="100" t="s">
        <v>16</v>
      </c>
      <c r="W30" s="102" t="s">
        <v>48</v>
      </c>
      <c r="X30" s="102" t="s">
        <v>27</v>
      </c>
      <c r="Y30" s="100" t="n">
        <f aca="false">IFERROR(VLOOKUP(V30,'PREUS BASE MÒDULS'!$C$11:$D$13,2,FALSE())*U30,0)</f>
        <v>240.6096</v>
      </c>
      <c r="Z30" s="100" t="n">
        <f aca="false">IFERROR(VLOOKUP(W30,'PREUS BASE MÒDULS'!$C$24:$D$24,2,FALSE())*U30,0)</f>
        <v>0</v>
      </c>
      <c r="AA30" s="100" t="n">
        <f aca="false">IFERROR((VLOOKUP(X30,'PREUS BASE MÒDULS'!$C$27:$D$27,2,FALSE())*U30),0)*2</f>
        <v>124.2</v>
      </c>
      <c r="AB30" s="101" t="n">
        <f aca="false">IFERROR(+Y30+Z30+AA30,0)</f>
        <v>364.8096</v>
      </c>
      <c r="AC30" s="99"/>
      <c r="AD30" s="100"/>
      <c r="AE30" s="102"/>
      <c r="AF30" s="102"/>
      <c r="AG30" s="100" t="n">
        <f aca="false">IFERROR(VLOOKUP(AD30,'PREUS BASE MÒDULS'!$C$14:$D$14,2,FALSE()),0)</f>
        <v>0</v>
      </c>
      <c r="AH30" s="100" t="n">
        <f aca="false">IFERROR(VLOOKUP(AE30,'PREUS BASE MÒDULS'!$C$24:$D$24,2,FALSE())*AC30,0)</f>
        <v>0</v>
      </c>
      <c r="AI30" s="100" t="n">
        <f aca="false">IFERROR((VLOOKUP(AF30,'PREUS BASE MÒDULS'!$C$27:$D$27,2,FALSE())*AC30),0)*2</f>
        <v>0</v>
      </c>
      <c r="AJ30" s="103" t="n">
        <f aca="false">IFERROR(+AG30+AH30+AI30,0)</f>
        <v>0</v>
      </c>
      <c r="AK30" s="104"/>
      <c r="AL30" s="104"/>
      <c r="AM30" s="100" t="n">
        <f aca="false">ROUND((+AH30+AG30+Z30+Y30+Q30+P30+H30+R30),2)</f>
        <v>240.61</v>
      </c>
      <c r="AN30" s="105" t="n">
        <f aca="false">ROUND((+AI30+AA30+S30+I30),5)</f>
        <v>124.2</v>
      </c>
      <c r="AO30" s="106" t="n">
        <f aca="false">ROUND((+AN30+AM30),7)</f>
        <v>364.81</v>
      </c>
      <c r="AP30" s="107" t="n">
        <f aca="false">AO30*1.21</f>
        <v>441.4201</v>
      </c>
      <c r="AQ30" s="104"/>
      <c r="AR30" s="108" t="n">
        <f aca="false">IFERROR(AM30/AO30,"")</f>
        <v>0.6595488062279</v>
      </c>
      <c r="AS30" s="109" t="n">
        <f aca="false">IFERROR(AN30/AO30,"")</f>
        <v>0.340451193772101</v>
      </c>
      <c r="AT30" s="6"/>
      <c r="AU30" s="6"/>
      <c r="AV30" s="6"/>
      <c r="AW30" s="6"/>
    </row>
    <row r="31" customFormat="false" ht="24.75" hidden="false" customHeight="true" outlineLevel="0" collapsed="false">
      <c r="A31" s="6"/>
      <c r="B31" s="97" t="s">
        <v>69</v>
      </c>
      <c r="C31" s="98" t="s">
        <v>75</v>
      </c>
      <c r="D31" s="86"/>
      <c r="E31" s="99"/>
      <c r="F31" s="100"/>
      <c r="G31" s="100"/>
      <c r="H31" s="100" t="n">
        <f aca="false">IFERROR(VLOOKUP(F31,'PREUS BASE MÒDULS'!$C$5:$F$7,4,FALSE())*E31,0)</f>
        <v>0</v>
      </c>
      <c r="I31" s="100" t="n">
        <f aca="false">IFERROR((VLOOKUP(G31,'PREUS BASE MÒDULS'!$C$27:$D$27,2,FALSE())*E31),0)*2</f>
        <v>0</v>
      </c>
      <c r="J31" s="101" t="n">
        <f aca="false">IFERROR(+H31+I31,0)</f>
        <v>0</v>
      </c>
      <c r="K31" s="99"/>
      <c r="L31" s="100"/>
      <c r="M31" s="102"/>
      <c r="N31" s="102"/>
      <c r="O31" s="102"/>
      <c r="P31" s="100" t="n">
        <f aca="false">IFERROR(VLOOKUP(L31,'PREUS BASE MÒDULS'!$C$8:$F$10,4,FALSE())*K31,0)</f>
        <v>0</v>
      </c>
      <c r="Q31" s="100" t="n">
        <f aca="false">IFERROR(VLOOKUP(M31,'PREUS BASE MÒDULS'!$C$24:$D$24,2,FALSE())*K31,0)</f>
        <v>0</v>
      </c>
      <c r="R31" s="100" t="n">
        <f aca="false">IFERROR(VLOOKUP(N31,'PREUS BASE MÒDULS'!$C$30:$F$30,4,FALSE()),0)</f>
        <v>0</v>
      </c>
      <c r="S31" s="100" t="n">
        <f aca="false">IFERROR((VLOOKUP(O31,'PREUS BASE MÒDULS'!$C$27:$D$27,2,FALSE())*K31),0)*2</f>
        <v>0</v>
      </c>
      <c r="T31" s="101" t="n">
        <f aca="false">IFERROR(+P31+Q31+S31+R31,0)</f>
        <v>0</v>
      </c>
      <c r="U31" s="99" t="n">
        <v>1</v>
      </c>
      <c r="V31" s="100" t="s">
        <v>16</v>
      </c>
      <c r="W31" s="102" t="s">
        <v>48</v>
      </c>
      <c r="X31" s="102" t="s">
        <v>27</v>
      </c>
      <c r="Y31" s="100" t="n">
        <f aca="false">IFERROR(VLOOKUP(V31,'PREUS BASE MÒDULS'!$C$11:$D$13,2,FALSE())*U31,0)</f>
        <v>240.6096</v>
      </c>
      <c r="Z31" s="100" t="n">
        <f aca="false">IFERROR(VLOOKUP(W31,'PREUS BASE MÒDULS'!$C$24:$D$24,2,FALSE())*U31,0)</f>
        <v>0</v>
      </c>
      <c r="AA31" s="100" t="n">
        <f aca="false">IFERROR((VLOOKUP(X31,'PREUS BASE MÒDULS'!$C$27:$D$27,2,FALSE())*U31),0)*2</f>
        <v>124.2</v>
      </c>
      <c r="AB31" s="101" t="n">
        <f aca="false">IFERROR(+Y31+Z31+AA31,0)</f>
        <v>364.8096</v>
      </c>
      <c r="AC31" s="99"/>
      <c r="AD31" s="100"/>
      <c r="AE31" s="102"/>
      <c r="AF31" s="102"/>
      <c r="AG31" s="100" t="n">
        <f aca="false">IFERROR(VLOOKUP(AD31,'PREUS BASE MÒDULS'!$C$14:$D$14,2,FALSE()),0)</f>
        <v>0</v>
      </c>
      <c r="AH31" s="100" t="n">
        <f aca="false">IFERROR(VLOOKUP(AE31,'PREUS BASE MÒDULS'!$C$24:$D$24,2,FALSE())*AC31,0)</f>
        <v>0</v>
      </c>
      <c r="AI31" s="100" t="n">
        <f aca="false">IFERROR((VLOOKUP(AF31,'PREUS BASE MÒDULS'!$C$27:$D$27,2,FALSE())*AC31),0)*2</f>
        <v>0</v>
      </c>
      <c r="AJ31" s="103" t="n">
        <f aca="false">IFERROR(+AG31+AH31+AI31,0)</f>
        <v>0</v>
      </c>
      <c r="AK31" s="104"/>
      <c r="AL31" s="104"/>
      <c r="AM31" s="100" t="n">
        <f aca="false">ROUND((+AH31+AG31+Z31+Y31+Q31+P31+H31+R31),2)</f>
        <v>240.61</v>
      </c>
      <c r="AN31" s="105" t="n">
        <f aca="false">ROUND((+AI31+AA31+S31+I31),5)</f>
        <v>124.2</v>
      </c>
      <c r="AO31" s="106" t="n">
        <f aca="false">ROUND((+AN31+AM31),7)</f>
        <v>364.81</v>
      </c>
      <c r="AP31" s="107" t="n">
        <f aca="false">AO31*1.21</f>
        <v>441.4201</v>
      </c>
      <c r="AQ31" s="104"/>
      <c r="AR31" s="108" t="n">
        <f aca="false">IFERROR(AM31/AO31,"")</f>
        <v>0.6595488062279</v>
      </c>
      <c r="AS31" s="109" t="n">
        <f aca="false">IFERROR(AN31/AO31,"")</f>
        <v>0.340451193772101</v>
      </c>
      <c r="AT31" s="6"/>
      <c r="AU31" s="6"/>
      <c r="AV31" s="6"/>
      <c r="AW31" s="6"/>
    </row>
    <row r="32" customFormat="false" ht="24.75" hidden="false" customHeight="true" outlineLevel="0" collapsed="false">
      <c r="A32" s="6"/>
      <c r="B32" s="97" t="s">
        <v>69</v>
      </c>
      <c r="C32" s="98" t="s">
        <v>76</v>
      </c>
      <c r="D32" s="86"/>
      <c r="E32" s="99"/>
      <c r="F32" s="100"/>
      <c r="G32" s="100"/>
      <c r="H32" s="100" t="n">
        <f aca="false">IFERROR(VLOOKUP(F32,'PREUS BASE MÒDULS'!$C$5:$F$7,4,FALSE())*E32,0)</f>
        <v>0</v>
      </c>
      <c r="I32" s="100" t="n">
        <f aca="false">IFERROR((VLOOKUP(G32,'PREUS BASE MÒDULS'!$C$27:$D$27,2,FALSE())*E32),0)*2</f>
        <v>0</v>
      </c>
      <c r="J32" s="101" t="n">
        <f aca="false">IFERROR(+H32+I32,0)</f>
        <v>0</v>
      </c>
      <c r="K32" s="99"/>
      <c r="L32" s="100"/>
      <c r="M32" s="102"/>
      <c r="N32" s="102"/>
      <c r="O32" s="102"/>
      <c r="P32" s="100" t="n">
        <f aca="false">IFERROR(VLOOKUP(L32,'PREUS BASE MÒDULS'!$C$8:$F$10,4,FALSE())*K32,0)</f>
        <v>0</v>
      </c>
      <c r="Q32" s="100" t="n">
        <f aca="false">IFERROR(VLOOKUP(M32,'PREUS BASE MÒDULS'!$C$24:$D$24,2,FALSE())*K32,0)</f>
        <v>0</v>
      </c>
      <c r="R32" s="100" t="n">
        <f aca="false">IFERROR(VLOOKUP(N32,'PREUS BASE MÒDULS'!$C$30:$F$30,4,FALSE()),0)</f>
        <v>0</v>
      </c>
      <c r="S32" s="100" t="n">
        <f aca="false">IFERROR((VLOOKUP(O32,'PREUS BASE MÒDULS'!$C$27:$D$27,2,FALSE())*K32),0)*2</f>
        <v>0</v>
      </c>
      <c r="T32" s="101" t="n">
        <f aca="false">IFERROR(+P32+Q32+S32+R32,0)</f>
        <v>0</v>
      </c>
      <c r="U32" s="99" t="n">
        <v>1</v>
      </c>
      <c r="V32" s="100" t="s">
        <v>16</v>
      </c>
      <c r="W32" s="102" t="s">
        <v>48</v>
      </c>
      <c r="X32" s="102" t="s">
        <v>27</v>
      </c>
      <c r="Y32" s="100" t="n">
        <f aca="false">IFERROR(VLOOKUP(V32,'PREUS BASE MÒDULS'!$C$11:$D$13,2,FALSE())*U32,0)</f>
        <v>240.6096</v>
      </c>
      <c r="Z32" s="100" t="n">
        <f aca="false">IFERROR(VLOOKUP(W32,'PREUS BASE MÒDULS'!$C$24:$D$24,2,FALSE())*U32,0)</f>
        <v>0</v>
      </c>
      <c r="AA32" s="100" t="n">
        <f aca="false">IFERROR((VLOOKUP(X32,'PREUS BASE MÒDULS'!$C$27:$D$27,2,FALSE())*U32),0)*2</f>
        <v>124.2</v>
      </c>
      <c r="AB32" s="101" t="n">
        <f aca="false">IFERROR(+Y32+Z32+AA32,0)</f>
        <v>364.8096</v>
      </c>
      <c r="AC32" s="99"/>
      <c r="AD32" s="100"/>
      <c r="AE32" s="102"/>
      <c r="AF32" s="102"/>
      <c r="AG32" s="100" t="n">
        <f aca="false">IFERROR(VLOOKUP(AD32,'PREUS BASE MÒDULS'!$C$14:$D$14,2,FALSE()),0)</f>
        <v>0</v>
      </c>
      <c r="AH32" s="100" t="n">
        <f aca="false">IFERROR(VLOOKUP(AE32,'PREUS BASE MÒDULS'!$C$24:$D$24,2,FALSE())*AC32,0)</f>
        <v>0</v>
      </c>
      <c r="AI32" s="100" t="n">
        <f aca="false">IFERROR((VLOOKUP(AF32,'PREUS BASE MÒDULS'!$C$27:$D$27,2,FALSE())*AC32),0)*2</f>
        <v>0</v>
      </c>
      <c r="AJ32" s="103" t="n">
        <f aca="false">IFERROR(+AG32+AH32+AI32,0)</f>
        <v>0</v>
      </c>
      <c r="AK32" s="104"/>
      <c r="AL32" s="104"/>
      <c r="AM32" s="100" t="n">
        <f aca="false">ROUND((+AH32+AG32+Z32+Y32+Q32+P32+H32+R32),2)</f>
        <v>240.61</v>
      </c>
      <c r="AN32" s="105" t="n">
        <f aca="false">ROUND((+AI32+AA32+S32+I32),5)</f>
        <v>124.2</v>
      </c>
      <c r="AO32" s="106" t="n">
        <f aca="false">ROUND((+AN32+AM32),7)</f>
        <v>364.81</v>
      </c>
      <c r="AP32" s="107" t="n">
        <f aca="false">AO32*1.21</f>
        <v>441.4201</v>
      </c>
      <c r="AQ32" s="104"/>
      <c r="AR32" s="108" t="n">
        <f aca="false">IFERROR(AM32/AO32,"")</f>
        <v>0.6595488062279</v>
      </c>
      <c r="AS32" s="109" t="n">
        <f aca="false">IFERROR(AN32/AO32,"")</f>
        <v>0.340451193772101</v>
      </c>
      <c r="AT32" s="6"/>
      <c r="AU32" s="6"/>
      <c r="AV32" s="6"/>
      <c r="AW32" s="6"/>
    </row>
    <row r="33" customFormat="false" ht="24.75" hidden="false" customHeight="true" outlineLevel="0" collapsed="false">
      <c r="A33" s="6"/>
      <c r="B33" s="97" t="s">
        <v>69</v>
      </c>
      <c r="C33" s="98" t="s">
        <v>77</v>
      </c>
      <c r="D33" s="86"/>
      <c r="E33" s="99"/>
      <c r="F33" s="100"/>
      <c r="G33" s="100"/>
      <c r="H33" s="100" t="n">
        <f aca="false">IFERROR(VLOOKUP(F33,'PREUS BASE MÒDULS'!$C$5:$F$7,4,FALSE())*E33,0)</f>
        <v>0</v>
      </c>
      <c r="I33" s="100" t="n">
        <f aca="false">IFERROR((VLOOKUP(G33,'PREUS BASE MÒDULS'!$C$27:$D$27,2,FALSE())*E33),0)*2</f>
        <v>0</v>
      </c>
      <c r="J33" s="101" t="n">
        <f aca="false">IFERROR(+H33+I33,0)</f>
        <v>0</v>
      </c>
      <c r="K33" s="99"/>
      <c r="L33" s="100"/>
      <c r="M33" s="102"/>
      <c r="N33" s="102"/>
      <c r="O33" s="102"/>
      <c r="P33" s="100" t="n">
        <f aca="false">IFERROR(VLOOKUP(L33,'PREUS BASE MÒDULS'!$C$8:$F$10,4,FALSE())*K33,0)</f>
        <v>0</v>
      </c>
      <c r="Q33" s="100" t="n">
        <f aca="false">IFERROR(VLOOKUP(M33,'PREUS BASE MÒDULS'!$C$24:$D$24,2,FALSE())*K33,0)</f>
        <v>0</v>
      </c>
      <c r="R33" s="100" t="n">
        <f aca="false">IFERROR(VLOOKUP(N33,'PREUS BASE MÒDULS'!$C$30:$F$30,4,FALSE()),0)</f>
        <v>0</v>
      </c>
      <c r="S33" s="100" t="n">
        <f aca="false">IFERROR((VLOOKUP(O33,'PREUS BASE MÒDULS'!$C$27:$D$27,2,FALSE())*K33),0)*2</f>
        <v>0</v>
      </c>
      <c r="T33" s="101" t="n">
        <f aca="false">IFERROR(+P33+Q33+S33+R33,0)</f>
        <v>0</v>
      </c>
      <c r="U33" s="99" t="n">
        <v>1</v>
      </c>
      <c r="V33" s="100" t="s">
        <v>16</v>
      </c>
      <c r="W33" s="102" t="s">
        <v>48</v>
      </c>
      <c r="X33" s="102" t="s">
        <v>27</v>
      </c>
      <c r="Y33" s="100" t="n">
        <f aca="false">IFERROR(VLOOKUP(V33,'PREUS BASE MÒDULS'!$C$11:$D$13,2,FALSE())*U33,0)</f>
        <v>240.6096</v>
      </c>
      <c r="Z33" s="100" t="n">
        <f aca="false">IFERROR(VLOOKUP(W33,'PREUS BASE MÒDULS'!$C$24:$D$24,2,FALSE())*U33,0)</f>
        <v>0</v>
      </c>
      <c r="AA33" s="100" t="n">
        <f aca="false">IFERROR((VLOOKUP(X33,'PREUS BASE MÒDULS'!$C$27:$D$27,2,FALSE())*U33),0)*2</f>
        <v>124.2</v>
      </c>
      <c r="AB33" s="101" t="n">
        <f aca="false">IFERROR(+Y33+Z33+AA33,0)</f>
        <v>364.8096</v>
      </c>
      <c r="AC33" s="99"/>
      <c r="AD33" s="100"/>
      <c r="AE33" s="102"/>
      <c r="AF33" s="102"/>
      <c r="AG33" s="100" t="n">
        <f aca="false">IFERROR(VLOOKUP(AD33,'PREUS BASE MÒDULS'!$C$14:$D$14,2,FALSE()),0)</f>
        <v>0</v>
      </c>
      <c r="AH33" s="100" t="n">
        <f aca="false">IFERROR(VLOOKUP(AE33,'PREUS BASE MÒDULS'!$C$24:$D$24,2,FALSE())*AC33,0)</f>
        <v>0</v>
      </c>
      <c r="AI33" s="100" t="n">
        <f aca="false">IFERROR((VLOOKUP(AF33,'PREUS BASE MÒDULS'!$C$27:$D$27,2,FALSE())*AC33),0)*2</f>
        <v>0</v>
      </c>
      <c r="AJ33" s="103" t="n">
        <f aca="false">IFERROR(+AG33+AH33+AI33,0)</f>
        <v>0</v>
      </c>
      <c r="AK33" s="104"/>
      <c r="AL33" s="104"/>
      <c r="AM33" s="100" t="n">
        <f aca="false">ROUND((+AH33+AG33+Z33+Y33+Q33+P33+H33+R33),2)</f>
        <v>240.61</v>
      </c>
      <c r="AN33" s="105" t="n">
        <f aca="false">ROUND((+AI33+AA33+S33+I33),5)</f>
        <v>124.2</v>
      </c>
      <c r="AO33" s="106" t="n">
        <f aca="false">ROUND((+AN33+AM33),7)</f>
        <v>364.81</v>
      </c>
      <c r="AP33" s="107" t="n">
        <f aca="false">AO33*1.21</f>
        <v>441.4201</v>
      </c>
      <c r="AQ33" s="104"/>
      <c r="AR33" s="108" t="n">
        <f aca="false">IFERROR(AM33/AO33,"")</f>
        <v>0.6595488062279</v>
      </c>
      <c r="AS33" s="109" t="n">
        <f aca="false">IFERROR(AN33/AO33,"")</f>
        <v>0.340451193772101</v>
      </c>
      <c r="AT33" s="6"/>
      <c r="AU33" s="6"/>
      <c r="AV33" s="6"/>
      <c r="AW33" s="6"/>
    </row>
    <row r="34" customFormat="false" ht="24.75" hidden="false" customHeight="true" outlineLevel="0" collapsed="false">
      <c r="A34" s="6"/>
      <c r="B34" s="97" t="s">
        <v>69</v>
      </c>
      <c r="C34" s="98" t="s">
        <v>78</v>
      </c>
      <c r="D34" s="86"/>
      <c r="E34" s="99"/>
      <c r="F34" s="100"/>
      <c r="G34" s="100"/>
      <c r="H34" s="100" t="n">
        <f aca="false">IFERROR(VLOOKUP(F34,'PREUS BASE MÒDULS'!$C$5:$F$7,4,FALSE())*E34,0)</f>
        <v>0</v>
      </c>
      <c r="I34" s="100" t="n">
        <f aca="false">IFERROR((VLOOKUP(G34,'PREUS BASE MÒDULS'!$C$27:$D$27,2,FALSE())*E34),0)*2</f>
        <v>0</v>
      </c>
      <c r="J34" s="101" t="n">
        <f aca="false">IFERROR(+H34+I34,0)</f>
        <v>0</v>
      </c>
      <c r="K34" s="99"/>
      <c r="L34" s="100"/>
      <c r="M34" s="102"/>
      <c r="N34" s="102"/>
      <c r="O34" s="102"/>
      <c r="P34" s="100" t="n">
        <f aca="false">IFERROR(VLOOKUP(L34,'PREUS BASE MÒDULS'!$C$8:$F$10,4,FALSE())*K34,0)</f>
        <v>0</v>
      </c>
      <c r="Q34" s="100" t="n">
        <f aca="false">IFERROR(VLOOKUP(M34,'PREUS BASE MÒDULS'!$C$24:$D$24,2,FALSE())*K34,0)</f>
        <v>0</v>
      </c>
      <c r="R34" s="100" t="n">
        <f aca="false">IFERROR(VLOOKUP(N34,'PREUS BASE MÒDULS'!$C$30:$F$30,4,FALSE()),0)</f>
        <v>0</v>
      </c>
      <c r="S34" s="100" t="n">
        <f aca="false">IFERROR((VLOOKUP(O34,'PREUS BASE MÒDULS'!$C$27:$D$27,2,FALSE())*K34),0)*2</f>
        <v>0</v>
      </c>
      <c r="T34" s="101" t="n">
        <f aca="false">IFERROR(+P34+Q34+S34+R34,0)</f>
        <v>0</v>
      </c>
      <c r="U34" s="99" t="n">
        <v>1</v>
      </c>
      <c r="V34" s="100" t="s">
        <v>16</v>
      </c>
      <c r="W34" s="102" t="s">
        <v>48</v>
      </c>
      <c r="X34" s="102" t="s">
        <v>27</v>
      </c>
      <c r="Y34" s="100" t="n">
        <f aca="false">IFERROR(VLOOKUP(V34,'PREUS BASE MÒDULS'!$C$11:$D$13,2,FALSE())*U34,0)</f>
        <v>240.6096</v>
      </c>
      <c r="Z34" s="100" t="n">
        <f aca="false">IFERROR(VLOOKUP(W34,'PREUS BASE MÒDULS'!$C$24:$D$24,2,FALSE())*U34,0)</f>
        <v>0</v>
      </c>
      <c r="AA34" s="100" t="n">
        <f aca="false">IFERROR((VLOOKUP(X34,'PREUS BASE MÒDULS'!$C$27:$D$27,2,FALSE())*U34),0)*2</f>
        <v>124.2</v>
      </c>
      <c r="AB34" s="101" t="n">
        <f aca="false">IFERROR(+Y34+Z34+AA34,0)</f>
        <v>364.8096</v>
      </c>
      <c r="AC34" s="99"/>
      <c r="AD34" s="100"/>
      <c r="AE34" s="102"/>
      <c r="AF34" s="102"/>
      <c r="AG34" s="100" t="n">
        <f aca="false">IFERROR(VLOOKUP(AD34,'PREUS BASE MÒDULS'!$C$14:$D$14,2,FALSE()),0)</f>
        <v>0</v>
      </c>
      <c r="AH34" s="100" t="n">
        <f aca="false">IFERROR(VLOOKUP(AE34,'PREUS BASE MÒDULS'!$C$24:$D$24,2,FALSE())*AC34,0)</f>
        <v>0</v>
      </c>
      <c r="AI34" s="100" t="n">
        <f aca="false">IFERROR((VLOOKUP(AF34,'PREUS BASE MÒDULS'!$C$27:$D$27,2,FALSE())*AC34),0)*2</f>
        <v>0</v>
      </c>
      <c r="AJ34" s="103" t="n">
        <f aca="false">IFERROR(+AG34+AH34+AI34,0)</f>
        <v>0</v>
      </c>
      <c r="AK34" s="104"/>
      <c r="AL34" s="104"/>
      <c r="AM34" s="100" t="n">
        <f aca="false">ROUND((+AH34+AG34+Z34+Y34+Q34+P34+H34+R34),2)</f>
        <v>240.61</v>
      </c>
      <c r="AN34" s="105" t="n">
        <f aca="false">ROUND((+AI34+AA34+S34+I34),5)</f>
        <v>124.2</v>
      </c>
      <c r="AO34" s="106" t="n">
        <f aca="false">ROUND((+AN34+AM34),7)</f>
        <v>364.81</v>
      </c>
      <c r="AP34" s="107" t="n">
        <f aca="false">AO34*1.21</f>
        <v>441.4201</v>
      </c>
      <c r="AQ34" s="104"/>
      <c r="AR34" s="108" t="n">
        <f aca="false">IFERROR(AM34/AO34,"")</f>
        <v>0.6595488062279</v>
      </c>
      <c r="AS34" s="109" t="n">
        <f aca="false">IFERROR(AN34/AO34,"")</f>
        <v>0.340451193772101</v>
      </c>
      <c r="AT34" s="6"/>
      <c r="AU34" s="6"/>
      <c r="AV34" s="6"/>
      <c r="AW34" s="6"/>
    </row>
    <row r="35" customFormat="false" ht="24.75" hidden="false" customHeight="true" outlineLevel="0" collapsed="false">
      <c r="A35" s="6"/>
      <c r="B35" s="112" t="s">
        <v>79</v>
      </c>
      <c r="C35" s="98" t="s">
        <v>80</v>
      </c>
      <c r="D35" s="86"/>
      <c r="E35" s="99"/>
      <c r="F35" s="100"/>
      <c r="G35" s="100"/>
      <c r="H35" s="100" t="n">
        <f aca="false">IFERROR(VLOOKUP(F35,'PREUS BASE MÒDULS'!$C$5:$F$7,4,FALSE())*E35,0)</f>
        <v>0</v>
      </c>
      <c r="I35" s="100" t="n">
        <f aca="false">IFERROR((VLOOKUP(G35,'PREUS BASE MÒDULS'!$C$27:$D$27,2,FALSE())*E35),0)*2</f>
        <v>0</v>
      </c>
      <c r="J35" s="101" t="n">
        <f aca="false">IFERROR(+H35+I35,0)</f>
        <v>0</v>
      </c>
      <c r="K35" s="99" t="n">
        <v>1</v>
      </c>
      <c r="L35" s="100" t="s">
        <v>13</v>
      </c>
      <c r="M35" s="102" t="s">
        <v>25</v>
      </c>
      <c r="N35" s="102" t="s">
        <v>48</v>
      </c>
      <c r="O35" s="102" t="s">
        <v>27</v>
      </c>
      <c r="P35" s="100" t="n">
        <f aca="false">IFERROR(VLOOKUP(L35,'PREUS BASE MÒDULS'!$C$20:$D$21,2,FALSE())*K35,0)</f>
        <v>104.1</v>
      </c>
      <c r="Q35" s="100" t="n">
        <f aca="false">IFERROR(VLOOKUP(M35,'PREUS BASE MÒDULS'!$C$24:$D$24,2,FALSE())*K35,0)</f>
        <v>20.16</v>
      </c>
      <c r="R35" s="100" t="n">
        <f aca="false">IFERROR(VLOOKUP(N35,'PREUS BASE MÒDULS'!$C$30:$F$30,4,FALSE()),0)</f>
        <v>0</v>
      </c>
      <c r="S35" s="100" t="n">
        <f aca="false">IFERROR((VLOOKUP(O35,'PREUS BASE MÒDULS'!$C$27:$D$27,2,FALSE())*K35),0)*2</f>
        <v>124.2</v>
      </c>
      <c r="T35" s="101" t="n">
        <f aca="false">IFERROR(+P35+Q35+S35+R35,0)</f>
        <v>248.46</v>
      </c>
      <c r="U35" s="99"/>
      <c r="V35" s="100"/>
      <c r="W35" s="102"/>
      <c r="X35" s="102"/>
      <c r="Y35" s="100" t="n">
        <f aca="false">IFERROR(VLOOKUP(V35,'PREUS BASE MÒDULS'!$C$11:$D$13,2,FALSE())*U35,0)</f>
        <v>0</v>
      </c>
      <c r="Z35" s="100" t="n">
        <f aca="false">IFERROR(VLOOKUP(W35,'PREUS BASE MÒDULS'!$C$24:$D$24,2,FALSE())*U35,0)</f>
        <v>0</v>
      </c>
      <c r="AA35" s="100" t="n">
        <f aca="false">IFERROR((VLOOKUP(X35,'PREUS BASE MÒDULS'!$C$27:$D$27,2,FALSE())*U35),0)*2</f>
        <v>0</v>
      </c>
      <c r="AB35" s="101" t="n">
        <f aca="false">IFERROR(+Y35+Z35+AA35,0)</f>
        <v>0</v>
      </c>
      <c r="AC35" s="99"/>
      <c r="AD35" s="100"/>
      <c r="AE35" s="102"/>
      <c r="AF35" s="102"/>
      <c r="AG35" s="100" t="n">
        <f aca="false">IFERROR(VLOOKUP(AD35,'PREUS BASE MÒDULS'!$C$14:$D$14,2,FALSE()),0)</f>
        <v>0</v>
      </c>
      <c r="AH35" s="100" t="n">
        <f aca="false">IFERROR(VLOOKUP(AE35,'PREUS BASE MÒDULS'!$C$24:$D$24,2,FALSE())*AC35,0)</f>
        <v>0</v>
      </c>
      <c r="AI35" s="100" t="n">
        <f aca="false">IFERROR((VLOOKUP(AF35,'PREUS BASE MÒDULS'!$C$27:$D$27,2,FALSE())*AC35),0)*2</f>
        <v>0</v>
      </c>
      <c r="AJ35" s="103" t="n">
        <f aca="false">IFERROR(+AG35+AH35+AI35,0)</f>
        <v>0</v>
      </c>
      <c r="AK35" s="104"/>
      <c r="AL35" s="104"/>
      <c r="AM35" s="100" t="n">
        <f aca="false">ROUND((+AH35+AG35+Z35+Y35+Q35+P35+H35+R35),2)</f>
        <v>124.26</v>
      </c>
      <c r="AN35" s="105" t="n">
        <f aca="false">ROUND((+AI35+AA35+S35+I35),5)</f>
        <v>124.2</v>
      </c>
      <c r="AO35" s="106" t="n">
        <f aca="false">ROUND((+AN35+AM35),7)</f>
        <v>248.46</v>
      </c>
      <c r="AP35" s="107" t="n">
        <f aca="false">AO35*1.21</f>
        <v>300.6366</v>
      </c>
      <c r="AQ35" s="104"/>
      <c r="AR35" s="108" t="n">
        <f aca="false">IFERROR(AM35/AO35,"")</f>
        <v>0.500120743781695</v>
      </c>
      <c r="AS35" s="109" t="n">
        <f aca="false">IFERROR(AN35/AO35,"")</f>
        <v>0.499879256218305</v>
      </c>
      <c r="AT35" s="6"/>
      <c r="AU35" s="6"/>
      <c r="AV35" s="6"/>
      <c r="AW35" s="6"/>
    </row>
    <row r="36" customFormat="false" ht="24.75" hidden="false" customHeight="true" outlineLevel="0" collapsed="false">
      <c r="A36" s="6"/>
      <c r="B36" s="113"/>
      <c r="C36" s="114"/>
      <c r="D36" s="86"/>
      <c r="E36" s="99"/>
      <c r="F36" s="100"/>
      <c r="G36" s="100"/>
      <c r="H36" s="100" t="n">
        <f aca="false">IFERROR(VLOOKUP(F36,'PREUS BASE MÒDULS'!$C$5:$F$7,4,FALSE())*E36,0)</f>
        <v>0</v>
      </c>
      <c r="I36" s="100" t="n">
        <f aca="false">IFERROR((VLOOKUP(G36,'PREUS BASE MÒDULS'!$C$27:$D$27,2,FALSE())*E36),0)*2</f>
        <v>0</v>
      </c>
      <c r="J36" s="101" t="n">
        <f aca="false">IFERROR(+H36+I36,0)</f>
        <v>0</v>
      </c>
      <c r="K36" s="99"/>
      <c r="L36" s="100"/>
      <c r="M36" s="102"/>
      <c r="N36" s="102"/>
      <c r="O36" s="102"/>
      <c r="P36" s="100" t="n">
        <f aca="false">IFERROR(VLOOKUP(L36,'PREUS BASE MÒDULS'!$C$8:$F$10,4,FALSE())*K36,0)</f>
        <v>0</v>
      </c>
      <c r="Q36" s="100" t="n">
        <f aca="false">IFERROR(VLOOKUP(M36,'PREUS BASE MÒDULS'!$C$24:$D$24,2,FALSE())*K36,0)</f>
        <v>0</v>
      </c>
      <c r="R36" s="100" t="n">
        <f aca="false">IFERROR(VLOOKUP(N36,'PREUS BASE MÒDULS'!$C$30:$F$30,4,FALSE()),0)</f>
        <v>0</v>
      </c>
      <c r="S36" s="100" t="n">
        <f aca="false">IFERROR((VLOOKUP(O36,'PREUS BASE MÒDULS'!$C$27:$D$27,2,FALSE())*K36),0)*2</f>
        <v>0</v>
      </c>
      <c r="T36" s="101" t="n">
        <f aca="false">IFERROR(+P36+Q36+S36+R36,0)</f>
        <v>0</v>
      </c>
      <c r="U36" s="99"/>
      <c r="V36" s="100"/>
      <c r="W36" s="102"/>
      <c r="X36" s="102"/>
      <c r="Y36" s="100" t="n">
        <f aca="false">IFERROR(VLOOKUP(V36,'PREUS BASE MÒDULS'!$C$11:$D$13,2,FALSE())*U36,0)</f>
        <v>0</v>
      </c>
      <c r="Z36" s="100" t="n">
        <f aca="false">IFERROR(VLOOKUP(W36,'PREUS BASE MÒDULS'!$C$24:$D$24,2,FALSE())*U36,0)</f>
        <v>0</v>
      </c>
      <c r="AA36" s="100" t="n">
        <f aca="false">IFERROR((VLOOKUP(X36,'PREUS BASE MÒDULS'!$C$27:$D$27,2,FALSE())*U36),0)*2</f>
        <v>0</v>
      </c>
      <c r="AB36" s="101" t="n">
        <f aca="false">IFERROR(+Y36+Z36+AA36,0)</f>
        <v>0</v>
      </c>
      <c r="AC36" s="99"/>
      <c r="AD36" s="100"/>
      <c r="AE36" s="102"/>
      <c r="AF36" s="102"/>
      <c r="AG36" s="100" t="n">
        <f aca="false">IFERROR(VLOOKUP(AD36,'PREUS BASE MÒDULS'!$C$14:$D$14,2,FALSE()),0)</f>
        <v>0</v>
      </c>
      <c r="AH36" s="100" t="n">
        <f aca="false">IFERROR(VLOOKUP(AE36,'PREUS BASE MÒDULS'!$C$24:$D$24,2,FALSE())*AC36,0)</f>
        <v>0</v>
      </c>
      <c r="AI36" s="100" t="n">
        <f aca="false">IFERROR((VLOOKUP(AF36,'PREUS BASE MÒDULS'!$C$27:$D$27,2,FALSE())*AC36),0)*2</f>
        <v>0</v>
      </c>
      <c r="AJ36" s="103" t="n">
        <f aca="false">IFERROR(+AG36+AH36+AI36,0)</f>
        <v>0</v>
      </c>
      <c r="AK36" s="104"/>
      <c r="AL36" s="104"/>
      <c r="AM36" s="100" t="n">
        <f aca="false">ROUND((+AH36+AG36+Z36+Y36+Q36+P36+H36+R36),2)</f>
        <v>0</v>
      </c>
      <c r="AN36" s="105" t="n">
        <f aca="false">ROUND((+AI36+AA36+S36+I36),5)</f>
        <v>0</v>
      </c>
      <c r="AO36" s="106" t="n">
        <f aca="false">ROUND((+AN36+AM36),7)</f>
        <v>0</v>
      </c>
      <c r="AP36" s="107" t="n">
        <f aca="false">AO36*1.21</f>
        <v>0</v>
      </c>
      <c r="AQ36" s="104"/>
      <c r="AR36" s="108" t="str">
        <f aca="false">IFERROR(AM36/AO36,"")</f>
        <v/>
      </c>
      <c r="AS36" s="109" t="str">
        <f aca="false">IFERROR(AN36/AO36,"")</f>
        <v/>
      </c>
      <c r="AT36" s="6"/>
      <c r="AU36" s="6"/>
      <c r="AV36" s="6"/>
      <c r="AW36" s="6"/>
    </row>
    <row r="37" customFormat="false" ht="12.8" hidden="false" customHeight="false" outlineLevel="0" collapsed="false">
      <c r="A37" s="6"/>
      <c r="B37" s="6"/>
      <c r="C37" s="6"/>
      <c r="D37" s="9"/>
      <c r="E37" s="115" t="n">
        <f aca="false">SUM(E5:E36)</f>
        <v>18</v>
      </c>
      <c r="F37" s="115"/>
      <c r="G37" s="115"/>
      <c r="H37" s="115" t="n">
        <f aca="false">SUM(H5:H36)</f>
        <v>5354.8244</v>
      </c>
      <c r="I37" s="115" t="n">
        <f aca="false">SUM(I5:I36)</f>
        <v>2049.3</v>
      </c>
      <c r="J37" s="115" t="n">
        <f aca="false">SUM(J5:J36)</f>
        <v>7404.1244</v>
      </c>
      <c r="K37" s="115" t="n">
        <f aca="false">SUM(K5:K36)</f>
        <v>32</v>
      </c>
      <c r="L37" s="115"/>
      <c r="M37" s="115"/>
      <c r="N37" s="115"/>
      <c r="O37" s="115"/>
      <c r="P37" s="115" t="n">
        <f aca="false">SUM(P5:P36)</f>
        <v>5005.772</v>
      </c>
      <c r="Q37" s="115" t="n">
        <f aca="false">SUM(Q5:Q36)</f>
        <v>624.96</v>
      </c>
      <c r="R37" s="115" t="n">
        <f aca="false">SUM(R5:R36)</f>
        <v>504</v>
      </c>
      <c r="S37" s="115" t="n">
        <f aca="false">SUM(S5:S36)</f>
        <v>3974.4</v>
      </c>
      <c r="T37" s="115" t="n">
        <f aca="false">SUM(T5:T36)</f>
        <v>10109.132</v>
      </c>
      <c r="U37" s="115" t="n">
        <f aca="false">SUM(U5:U36)</f>
        <v>11</v>
      </c>
      <c r="V37" s="115"/>
      <c r="W37" s="115"/>
      <c r="X37" s="115"/>
      <c r="Y37" s="115" t="n">
        <f aca="false">SUM(Y5:Y36)</f>
        <v>2684.1024</v>
      </c>
      <c r="Z37" s="115" t="n">
        <f aca="false">SUM(Z5:Z36)</f>
        <v>20.16</v>
      </c>
      <c r="AA37" s="115" t="n">
        <f aca="false">SUM(AA5:AA36)</f>
        <v>1242</v>
      </c>
      <c r="AB37" s="115" t="n">
        <f aca="false">SUM(AB5:AB36)</f>
        <v>3946.2624</v>
      </c>
      <c r="AC37" s="115" t="n">
        <f aca="false">SUM(AC5:AC36)</f>
        <v>1</v>
      </c>
      <c r="AD37" s="115"/>
      <c r="AE37" s="115"/>
      <c r="AF37" s="115"/>
      <c r="AG37" s="115" t="n">
        <f aca="false">SUM(AG5:AG36)</f>
        <v>352.8</v>
      </c>
      <c r="AH37" s="115" t="n">
        <f aca="false">SUM(AH5:AH36)</f>
        <v>0</v>
      </c>
      <c r="AI37" s="115" t="n">
        <f aca="false">SUM(AI5:AI36)</f>
        <v>0</v>
      </c>
      <c r="AJ37" s="115" t="n">
        <f aca="false">SUM(AJ5:AJ36)</f>
        <v>352.8</v>
      </c>
      <c r="AK37" s="115"/>
      <c r="AL37" s="115"/>
      <c r="AM37" s="115" t="n">
        <f aca="false">SUM(AM5:AM36)</f>
        <v>14546.612</v>
      </c>
      <c r="AN37" s="115" t="n">
        <f aca="false">SUM(AN5:AN36)</f>
        <v>7265.7</v>
      </c>
      <c r="AO37" s="115" t="n">
        <f aca="false">SUM(AO5:AO36)+0.01</f>
        <v>21812.322</v>
      </c>
      <c r="AP37" s="116" t="n">
        <f aca="false">AO37*1.21</f>
        <v>26392.90962</v>
      </c>
      <c r="AQ37" s="6"/>
      <c r="AR37" s="6"/>
      <c r="AS37" s="6"/>
      <c r="AT37" s="6"/>
      <c r="AU37" s="6"/>
      <c r="AV37" s="6"/>
      <c r="AW37" s="6"/>
    </row>
    <row r="38" customFormat="false" ht="12.8" hidden="false" customHeight="false" outlineLevel="0" collapsed="false">
      <c r="A38" s="6"/>
      <c r="B38" s="6"/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116"/>
      <c r="AQ38" s="6"/>
      <c r="AR38" s="6"/>
      <c r="AS38" s="6"/>
      <c r="AT38" s="6"/>
      <c r="AU38" s="6"/>
      <c r="AV38" s="6"/>
      <c r="AW38" s="6"/>
    </row>
    <row r="39" customFormat="false" ht="12.8" hidden="false" customHeight="false" outlineLevel="0" collapsed="false">
      <c r="A39" s="6"/>
      <c r="B39" s="6"/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116"/>
      <c r="AQ39" s="6"/>
      <c r="AR39" s="6"/>
      <c r="AS39" s="6"/>
      <c r="AT39" s="6"/>
      <c r="AU39" s="6"/>
      <c r="AV39" s="6"/>
      <c r="AW39" s="6"/>
    </row>
    <row r="40" customFormat="false" ht="12.8" hidden="false" customHeight="false" outlineLevel="0" collapsed="false">
      <c r="A40" s="6"/>
      <c r="B40" s="6"/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116"/>
      <c r="AQ40" s="6"/>
      <c r="AR40" s="6"/>
      <c r="AS40" s="6"/>
      <c r="AT40" s="6"/>
      <c r="AU40" s="6"/>
      <c r="AV40" s="6"/>
      <c r="AW40" s="6"/>
    </row>
    <row r="41" customFormat="false" ht="12.8" hidden="false" customHeight="false" outlineLevel="0" collapsed="false">
      <c r="A41" s="6"/>
      <c r="B41" s="6"/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116"/>
      <c r="AQ41" s="6"/>
      <c r="AR41" s="6"/>
      <c r="AS41" s="6"/>
      <c r="AT41" s="6"/>
      <c r="AU41" s="6"/>
      <c r="AV41" s="6"/>
      <c r="AW41" s="6"/>
    </row>
    <row r="42" customFormat="false" ht="12.8" hidden="false" customHeight="false" outlineLevel="0" collapsed="false">
      <c r="A42" s="6"/>
      <c r="B42" s="6"/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116"/>
      <c r="AQ42" s="6"/>
      <c r="AR42" s="6"/>
      <c r="AS42" s="6"/>
      <c r="AT42" s="6"/>
      <c r="AU42" s="6"/>
      <c r="AV42" s="6"/>
      <c r="AW42" s="6"/>
    </row>
    <row r="43" customFormat="false" ht="12.8" hidden="false" customHeight="false" outlineLevel="0" collapsed="false">
      <c r="A43" s="6"/>
      <c r="B43" s="6"/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116"/>
      <c r="AQ43" s="6"/>
      <c r="AR43" s="6"/>
      <c r="AS43" s="6"/>
      <c r="AT43" s="6"/>
      <c r="AU43" s="6"/>
      <c r="AV43" s="6"/>
      <c r="AW43" s="6"/>
    </row>
    <row r="44" customFormat="false" ht="12.8" hidden="false" customHeight="false" outlineLevel="0" collapsed="false">
      <c r="A44" s="6"/>
      <c r="B44" s="6"/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116"/>
      <c r="AQ44" s="6"/>
      <c r="AR44" s="6"/>
      <c r="AS44" s="6"/>
      <c r="AT44" s="6"/>
      <c r="AU44" s="6"/>
      <c r="AV44" s="6"/>
      <c r="AW44" s="6"/>
    </row>
    <row r="45" customFormat="false" ht="12.8" hidden="false" customHeight="false" outlineLevel="0" collapsed="false">
      <c r="AP45" s="116"/>
    </row>
    <row r="46" customFormat="false" ht="12.8" hidden="false" customHeight="false" outlineLevel="0" collapsed="false">
      <c r="AP46" s="116"/>
    </row>
    <row r="47" customFormat="false" ht="12.8" hidden="false" customHeight="false" outlineLevel="0" collapsed="false">
      <c r="AP47" s="116"/>
    </row>
    <row r="48" customFormat="false" ht="12.8" hidden="false" customHeight="false" outlineLevel="0" collapsed="false">
      <c r="AP48" s="116"/>
    </row>
    <row r="49" customFormat="false" ht="12.8" hidden="false" customHeight="false" outlineLevel="0" collapsed="false">
      <c r="AP49" s="116"/>
    </row>
    <row r="50" customFormat="false" ht="12.8" hidden="false" customHeight="false" outlineLevel="0" collapsed="false">
      <c r="AP50" s="116"/>
    </row>
    <row r="51" customFormat="false" ht="12.8" hidden="false" customHeight="false" outlineLevel="0" collapsed="false">
      <c r="AP51" s="116"/>
    </row>
    <row r="52" customFormat="false" ht="12.8" hidden="false" customHeight="false" outlineLevel="0" collapsed="false">
      <c r="AP52" s="116"/>
    </row>
    <row r="53" customFormat="false" ht="12.8" hidden="false" customHeight="false" outlineLevel="0" collapsed="false">
      <c r="AP53" s="116"/>
    </row>
    <row r="54" customFormat="false" ht="12.8" hidden="false" customHeight="false" outlineLevel="0" collapsed="false">
      <c r="AP54" s="116"/>
    </row>
    <row r="55" customFormat="false" ht="12.8" hidden="false" customHeight="false" outlineLevel="0" collapsed="false">
      <c r="AP55" s="116"/>
    </row>
    <row r="56" customFormat="false" ht="12.8" hidden="false" customHeight="false" outlineLevel="0" collapsed="false">
      <c r="AP56" s="116"/>
    </row>
    <row r="57" customFormat="false" ht="12.8" hidden="false" customHeight="false" outlineLevel="0" collapsed="false">
      <c r="AP57" s="116"/>
    </row>
    <row r="58" customFormat="false" ht="12.8" hidden="false" customHeight="false" outlineLevel="0" collapsed="false">
      <c r="AP58" s="116"/>
    </row>
    <row r="59" customFormat="false" ht="12.8" hidden="false" customHeight="false" outlineLevel="0" collapsed="false">
      <c r="AP59" s="116"/>
    </row>
    <row r="60" customFormat="false" ht="12.8" hidden="false" customHeight="false" outlineLevel="0" collapsed="false">
      <c r="AP60" s="116"/>
    </row>
    <row r="61" customFormat="false" ht="12.8" hidden="false" customHeight="false" outlineLevel="0" collapsed="false">
      <c r="AP61" s="116"/>
    </row>
    <row r="62" customFormat="false" ht="12.8" hidden="false" customHeight="false" outlineLevel="0" collapsed="false">
      <c r="AP62" s="116"/>
    </row>
    <row r="63" customFormat="false" ht="12.8" hidden="false" customHeight="false" outlineLevel="0" collapsed="false">
      <c r="AP63" s="116"/>
    </row>
    <row r="64" customFormat="false" ht="12.8" hidden="false" customHeight="false" outlineLevel="0" collapsed="false">
      <c r="AP64" s="116"/>
    </row>
  </sheetData>
  <mergeCells count="7">
    <mergeCell ref="E2:J2"/>
    <mergeCell ref="K2:T2"/>
    <mergeCell ref="U2:W2"/>
    <mergeCell ref="AC2:AD2"/>
    <mergeCell ref="AM2:AO2"/>
    <mergeCell ref="AR2:AS2"/>
    <mergeCell ref="AP3:AP4"/>
  </mergeCells>
  <dataValidations count="17">
    <dataValidation allowBlank="true" errorStyle="stop" operator="between" showDropDown="false" showErrorMessage="true" showInputMessage="true" sqref="B36" type="list">
      <formula1>SERVEI</formula1>
      <formula2>0</formula2>
    </dataValidation>
    <dataValidation allowBlank="true" errorStyle="stop" operator="between" showDropDown="false" showErrorMessage="true" showInputMessage="true" sqref="F5:F36" type="list">
      <formula1>'PREUS BASE MÒDULS'!$C$5:$C$7</formula1>
      <formula2>0</formula2>
    </dataValidation>
    <dataValidation allowBlank="true" errorStyle="stop" operator="between" showDropDown="false" showErrorMessage="true" showInputMessage="true" sqref="L8:L17 L36" type="list">
      <formula1>'PREUS BASE MÒDULS'!$C$8:$C$9</formula1>
      <formula2>0</formula2>
    </dataValidation>
    <dataValidation allowBlank="true" errorStyle="stop" operator="between" showDropDown="false" showErrorMessage="true" showInputMessage="true" sqref="V5:V36" type="list">
      <formula1>'PREUS BASE MÒDULS'!$C$11:$C$13</formula1>
      <formula2>0</formula2>
    </dataValidation>
    <dataValidation allowBlank="true" errorStyle="stop" operator="between" showDropDown="false" showErrorMessage="true" showInputMessage="true" sqref="AD5:AD36" type="list">
      <formula1>'PREUS BASE MÒDULS'!$C$14</formula1>
      <formula2>0</formula2>
    </dataValidation>
    <dataValidation allowBlank="true" errorStyle="stop" operator="between" showDropDown="false" showErrorMessage="true" showInputMessage="true" sqref="M5:M36 W5:W36 AE5:AE36" type="list">
      <formula1>'PREUS BASE MÒDULS'!$C$24:$C$24</formula1>
      <formula2>0</formula2>
    </dataValidation>
    <dataValidation allowBlank="true" errorStyle="stop" operator="between" showDropDown="false" showErrorMessage="true" showInputMessage="true" sqref="G5:G36 O5:O36 X5:X36 AF5:AF36" type="list">
      <formula1>'PREUS BASE MÒDULS'!$C$27:$C$27</formula1>
      <formula2>0</formula2>
    </dataValidation>
    <dataValidation allowBlank="true" errorStyle="stop" operator="between" showDropDown="false" showErrorMessage="true" showInputMessage="true" sqref="N5:N36" type="list">
      <formula1>'PREUS BASE MÒDULS'!$C$30:$C$30</formula1>
      <formula2>0</formula2>
    </dataValidation>
    <dataValidation allowBlank="true" errorStyle="stop" operator="between" showDropDown="false" showErrorMessage="true" showInputMessage="true" sqref="L5" type="list">
      <formula1>'PREUS BASE MÒDULS'!$C$8:$C$10</formula1>
      <formula2>0</formula2>
    </dataValidation>
    <dataValidation allowBlank="true" errorStyle="stop" operator="between" showDropDown="false" showErrorMessage="true" showInputMessage="true" sqref="L6" type="list">
      <formula1>'PREUS BASE MÒDULS'!$C$8:$C$10</formula1>
      <formula2>0</formula2>
    </dataValidation>
    <dataValidation allowBlank="true" errorStyle="stop" operator="between" showDropDown="false" showErrorMessage="true" showInputMessage="true" sqref="L7" type="list">
      <formula1>'PREUS BASE MÒDULS'!$C$8:$C$10</formula1>
      <formula2>0</formula2>
    </dataValidation>
    <dataValidation allowBlank="true" errorStyle="stop" operator="between" showDropDown="false" showErrorMessage="true" showInputMessage="true" sqref="L21" type="list">
      <formula1>'PREUS BASE MÒDULS'!$C$8:$C$10</formula1>
      <formula2>0</formula2>
    </dataValidation>
    <dataValidation allowBlank="true" errorStyle="stop" operator="between" showDropDown="false" showErrorMessage="true" showInputMessage="true" sqref="L22" type="list">
      <formula1>'PREUS BASE MÒDULS'!$C$8:$C$10</formula1>
      <formula2>0</formula2>
    </dataValidation>
    <dataValidation allowBlank="true" errorStyle="stop" operator="between" showDropDown="false" showErrorMessage="true" showInputMessage="true" sqref="L23:L35" type="list">
      <formula1>'PREUS BASE MÒDULS'!$C$8:$C$10</formula1>
      <formula2>0</formula2>
    </dataValidation>
    <dataValidation allowBlank="true" errorStyle="stop" operator="between" showDropDown="false" showErrorMessage="true" showInputMessage="true" sqref="L19:L20" type="list">
      <formula1>'PREUS BASE MÒDULS'!$C$8:$C$10</formula1>
      <formula2>0</formula2>
    </dataValidation>
    <dataValidation allowBlank="true" errorStyle="stop" operator="between" showDropDown="false" showErrorMessage="true" showInputMessage="true" sqref="L18" type="list">
      <formula1>'PREUS BASE MÒDULS'!$C$8:$C$10</formula1>
      <formula2>0</formula2>
    </dataValidation>
    <dataValidation allowBlank="true" errorStyle="stop" operator="between" showDropDown="false" showErrorMessage="true" showInputMessage="true" sqref="B5:B35" type="list">
      <formula1>"CULTURA,ESPORTS,IGUALTAT ,PROMOCIÓ CIUTAT"</formula1>
      <formula2>0</formula2>
    </dataValidation>
  </dataValidations>
  <printOptions headings="false" gridLines="false" gridLinesSet="true" horizontalCentered="false" verticalCentered="false"/>
  <pageMargins left="0.116666666666667" right="0.117361111111111" top="0.747916666666667" bottom="0.747916666666667" header="0.511811023622047" footer="0.511811023622047"/>
  <pageSetup paperSize="8" scale="54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27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M24" activeCellId="0" sqref="M24"/>
    </sheetView>
  </sheetViews>
  <sheetFormatPr defaultColWidth="11.53515625" defaultRowHeight="13.8" zeroHeight="false" outlineLevelRow="0" outlineLevelCol="0"/>
  <cols>
    <col collapsed="false" customWidth="true" hidden="false" outlineLevel="0" max="1" min="1" style="1" width="3.34"/>
    <col collapsed="false" customWidth="true" hidden="false" outlineLevel="0" max="2" min="2" style="1" width="9.77"/>
    <col collapsed="false" customWidth="false" hidden="false" outlineLevel="0" max="3" min="3" style="1" width="11.51"/>
    <col collapsed="false" customWidth="true" hidden="false" outlineLevel="0" max="4" min="4" style="2" width="32.29"/>
    <col collapsed="false" customWidth="true" hidden="false" outlineLevel="0" max="5" min="5" style="3" width="10.2"/>
    <col collapsed="false" customWidth="true" hidden="true" outlineLevel="0" max="6" min="6" style="1" width="6.91"/>
    <col collapsed="false" customWidth="true" hidden="false" outlineLevel="0" max="7" min="7" style="4" width="10.83"/>
    <col collapsed="false" customWidth="true" hidden="false" outlineLevel="0" max="8" min="8" style="4" width="19.83"/>
    <col collapsed="false" customWidth="true" hidden="false" outlineLevel="0" max="9" min="9" style="5" width="1.83"/>
    <col collapsed="false" customWidth="true" hidden="false" outlineLevel="0" max="10" min="10" style="1" width="2.57"/>
    <col collapsed="false" customWidth="true" hidden="false" outlineLevel="0" max="12" min="11" style="1" width="7.57"/>
    <col collapsed="false" customWidth="true" hidden="false" outlineLevel="0" max="13" min="13" style="5" width="7.43"/>
    <col collapsed="false" customWidth="true" hidden="false" outlineLevel="0" max="14" min="14" style="5" width="9.21"/>
  </cols>
  <sheetData>
    <row r="1" customFormat="false" ht="41.65" hidden="false" customHeight="true" outlineLevel="0" collapsed="false">
      <c r="A1" s="6"/>
      <c r="B1" s="6"/>
      <c r="C1" s="6"/>
      <c r="D1" s="7"/>
      <c r="E1" s="8"/>
      <c r="F1" s="6"/>
      <c r="G1" s="9"/>
      <c r="H1" s="9"/>
      <c r="I1" s="6"/>
      <c r="J1" s="6"/>
      <c r="K1" s="6"/>
      <c r="L1" s="6"/>
    </row>
    <row r="2" customFormat="false" ht="9.5" hidden="false" customHeight="true" outlineLevel="0" collapsed="false">
      <c r="A2" s="6"/>
      <c r="B2" s="6"/>
      <c r="C2" s="6"/>
      <c r="D2" s="7"/>
      <c r="E2" s="117"/>
      <c r="F2" s="117"/>
      <c r="G2" s="117"/>
      <c r="H2" s="118"/>
      <c r="I2" s="6"/>
      <c r="J2" s="6"/>
      <c r="K2" s="6"/>
      <c r="L2" s="6"/>
    </row>
    <row r="3" customFormat="false" ht="40.5" hidden="false" customHeight="true" outlineLevel="0" collapsed="false">
      <c r="A3" s="6"/>
      <c r="B3" s="119" t="s">
        <v>81</v>
      </c>
      <c r="C3" s="119"/>
      <c r="D3" s="119"/>
      <c r="E3" s="12" t="s">
        <v>82</v>
      </c>
      <c r="F3" s="13"/>
      <c r="G3" s="14" t="s">
        <v>83</v>
      </c>
      <c r="H3" s="14"/>
      <c r="I3" s="6"/>
      <c r="J3" s="6"/>
      <c r="K3" s="14" t="s">
        <v>84</v>
      </c>
      <c r="L3" s="14" t="s">
        <v>85</v>
      </c>
      <c r="M3" s="14" t="s">
        <v>3</v>
      </c>
      <c r="N3" s="14" t="s">
        <v>86</v>
      </c>
      <c r="O3" s="14" t="s">
        <v>87</v>
      </c>
    </row>
    <row r="4" customFormat="false" ht="22.55" hidden="false" customHeight="true" outlineLevel="0" collapsed="false">
      <c r="A4" s="15"/>
      <c r="B4" s="15"/>
      <c r="C4" s="16"/>
      <c r="D4" s="16"/>
      <c r="E4" s="16"/>
      <c r="F4" s="16"/>
      <c r="G4" s="16"/>
      <c r="H4" s="16"/>
      <c r="I4" s="16"/>
      <c r="J4" s="15"/>
      <c r="K4" s="15"/>
      <c r="L4" s="120"/>
    </row>
    <row r="5" customFormat="false" ht="24.75" hidden="false" customHeight="true" outlineLevel="0" collapsed="false">
      <c r="A5" s="6"/>
      <c r="B5" s="121" t="s">
        <v>88</v>
      </c>
      <c r="C5" s="122" t="s">
        <v>89</v>
      </c>
      <c r="D5" s="122" t="s">
        <v>90</v>
      </c>
      <c r="E5" s="123" t="n">
        <v>0.95</v>
      </c>
      <c r="F5" s="124"/>
      <c r="G5" s="125" t="n">
        <f aca="false">ROUND(+1.21*E5,2)</f>
        <v>1.15</v>
      </c>
      <c r="H5" s="126" t="s">
        <v>91</v>
      </c>
      <c r="I5" s="104"/>
      <c r="J5" s="6"/>
      <c r="K5" s="127" t="n">
        <v>120</v>
      </c>
      <c r="L5" s="128" t="n">
        <v>10</v>
      </c>
      <c r="M5" s="129" t="n">
        <f aca="false">K5/2</f>
        <v>60</v>
      </c>
      <c r="N5" s="25" t="n">
        <f aca="false">M5*L5*E5</f>
        <v>570</v>
      </c>
      <c r="O5" s="25" t="n">
        <f aca="false">N5*1.21</f>
        <v>689.7</v>
      </c>
    </row>
    <row r="6" customFormat="false" ht="24.75" hidden="false" customHeight="true" outlineLevel="0" collapsed="false">
      <c r="A6" s="6"/>
      <c r="B6" s="121"/>
      <c r="C6" s="122"/>
      <c r="D6" s="122" t="s">
        <v>92</v>
      </c>
      <c r="E6" s="123" t="n">
        <v>0.95</v>
      </c>
      <c r="F6" s="124"/>
      <c r="G6" s="125" t="n">
        <f aca="false">ROUND(+1.21*E6,2)</f>
        <v>1.15</v>
      </c>
      <c r="H6" s="126" t="s">
        <v>91</v>
      </c>
      <c r="I6" s="104"/>
      <c r="J6" s="6"/>
      <c r="K6" s="127" t="n">
        <v>60</v>
      </c>
      <c r="L6" s="128" t="n">
        <v>5</v>
      </c>
      <c r="M6" s="129" t="n">
        <f aca="false">K6/2</f>
        <v>30</v>
      </c>
      <c r="N6" s="25" t="n">
        <f aca="false">M6*L6*E6</f>
        <v>142.5</v>
      </c>
      <c r="O6" s="25" t="n">
        <f aca="false">N6*1.21-0.01</f>
        <v>172.415</v>
      </c>
    </row>
    <row r="7" customFormat="false" ht="24.75" hidden="false" customHeight="true" outlineLevel="0" collapsed="false">
      <c r="A7" s="6"/>
      <c r="B7" s="121"/>
      <c r="C7" s="122"/>
      <c r="D7" s="122" t="s">
        <v>93</v>
      </c>
      <c r="E7" s="123" t="n">
        <v>0.95</v>
      </c>
      <c r="F7" s="124"/>
      <c r="G7" s="125" t="n">
        <f aca="false">ROUND(+1.21*E7,2)</f>
        <v>1.15</v>
      </c>
      <c r="H7" s="126" t="s">
        <v>91</v>
      </c>
      <c r="I7" s="104"/>
      <c r="J7" s="6"/>
      <c r="K7" s="127" t="n">
        <v>750</v>
      </c>
      <c r="L7" s="128" t="n">
        <v>3</v>
      </c>
      <c r="M7" s="129" t="n">
        <f aca="false">K7/2</f>
        <v>375</v>
      </c>
      <c r="N7" s="25" t="n">
        <f aca="false">M7*L7*E7</f>
        <v>1068.75</v>
      </c>
      <c r="O7" s="25" t="n">
        <f aca="false">N7*1.21</f>
        <v>1293.1875</v>
      </c>
    </row>
    <row r="8" customFormat="false" ht="24.75" hidden="false" customHeight="true" outlineLevel="0" collapsed="false">
      <c r="A8" s="6"/>
      <c r="B8" s="121"/>
      <c r="C8" s="122"/>
      <c r="D8" s="122" t="s">
        <v>94</v>
      </c>
      <c r="E8" s="123" t="n">
        <v>0.95</v>
      </c>
      <c r="F8" s="124"/>
      <c r="G8" s="125" t="n">
        <f aca="false">ROUND(+1.21*E8,2)</f>
        <v>1.15</v>
      </c>
      <c r="H8" s="126" t="s">
        <v>91</v>
      </c>
      <c r="I8" s="104"/>
      <c r="J8" s="6"/>
      <c r="K8" s="127" t="n">
        <v>1050</v>
      </c>
      <c r="L8" s="128" t="n">
        <v>2</v>
      </c>
      <c r="M8" s="129" t="n">
        <f aca="false">K8/2</f>
        <v>525</v>
      </c>
      <c r="N8" s="25" t="n">
        <f aca="false">M8*L8*E8</f>
        <v>997.5</v>
      </c>
      <c r="O8" s="25" t="n">
        <f aca="false">N8*1.21</f>
        <v>1206.975</v>
      </c>
    </row>
    <row r="9" customFormat="false" ht="24.75" hidden="false" customHeight="true" outlineLevel="0" collapsed="false">
      <c r="A9" s="6"/>
      <c r="B9" s="121"/>
      <c r="C9" s="122"/>
      <c r="D9" s="122" t="s">
        <v>95</v>
      </c>
      <c r="E9" s="123" t="n">
        <v>0.95</v>
      </c>
      <c r="F9" s="124"/>
      <c r="G9" s="125" t="n">
        <f aca="false">ROUND(+1.21*E9,2)</f>
        <v>1.15</v>
      </c>
      <c r="H9" s="126" t="s">
        <v>91</v>
      </c>
      <c r="I9" s="104"/>
      <c r="J9" s="6"/>
      <c r="K9" s="127" t="n">
        <v>250</v>
      </c>
      <c r="L9" s="128" t="n">
        <v>1</v>
      </c>
      <c r="M9" s="129" t="n">
        <f aca="false">K9/2</f>
        <v>125</v>
      </c>
      <c r="N9" s="25" t="n">
        <f aca="false">M9*L9*E9</f>
        <v>118.75</v>
      </c>
      <c r="O9" s="25" t="n">
        <f aca="false">N9*1.21</f>
        <v>143.6875</v>
      </c>
    </row>
    <row r="10" customFormat="false" ht="24.75" hidden="false" customHeight="true" outlineLevel="0" collapsed="false">
      <c r="A10" s="6"/>
      <c r="B10" s="121"/>
      <c r="C10" s="122" t="s">
        <v>96</v>
      </c>
      <c r="D10" s="122"/>
      <c r="E10" s="130" t="n">
        <v>0.95</v>
      </c>
      <c r="F10" s="131"/>
      <c r="G10" s="125" t="n">
        <f aca="false">ROUND(+1.21*E10,2)</f>
        <v>1.15</v>
      </c>
      <c r="H10" s="132" t="s">
        <v>91</v>
      </c>
      <c r="I10" s="104"/>
      <c r="J10" s="6"/>
      <c r="K10" s="127" t="n">
        <v>100</v>
      </c>
      <c r="L10" s="127" t="n">
        <v>6</v>
      </c>
      <c r="M10" s="129" t="n">
        <f aca="false">K10/2</f>
        <v>50</v>
      </c>
      <c r="N10" s="25" t="n">
        <f aca="false">M10*L10*E10</f>
        <v>285</v>
      </c>
      <c r="O10" s="25" t="n">
        <f aca="false">N10*1.21</f>
        <v>344.85</v>
      </c>
    </row>
    <row r="11" customFormat="false" ht="24.75" hidden="false" customHeight="true" outlineLevel="0" collapsed="false">
      <c r="A11" s="6"/>
      <c r="B11" s="121"/>
      <c r="C11" s="133" t="s">
        <v>97</v>
      </c>
      <c r="D11" s="133"/>
      <c r="E11" s="123" t="n">
        <v>0.35</v>
      </c>
      <c r="F11" s="124"/>
      <c r="G11" s="125" t="n">
        <f aca="false">ROUND(+1.21*E11,2)</f>
        <v>0.42</v>
      </c>
      <c r="H11" s="126" t="s">
        <v>91</v>
      </c>
      <c r="I11" s="104"/>
      <c r="J11" s="6"/>
      <c r="K11" s="127" t="n">
        <v>6</v>
      </c>
      <c r="L11" s="127" t="n">
        <v>10</v>
      </c>
      <c r="M11" s="129" t="n">
        <f aca="false">K11/3</f>
        <v>2</v>
      </c>
      <c r="N11" s="25" t="n">
        <f aca="false">M11*L11*E11</f>
        <v>7</v>
      </c>
      <c r="O11" s="25" t="n">
        <f aca="false">N11*1.21</f>
        <v>8.47</v>
      </c>
    </row>
    <row r="12" customFormat="false" ht="24.75" hidden="false" customHeight="true" outlineLevel="0" collapsed="false">
      <c r="A12" s="6"/>
      <c r="B12" s="121"/>
      <c r="C12" s="133" t="s">
        <v>98</v>
      </c>
      <c r="D12" s="133"/>
      <c r="E12" s="130" t="n">
        <v>1.06</v>
      </c>
      <c r="F12" s="131"/>
      <c r="G12" s="125" t="n">
        <f aca="false">ROUND(+1.21*E12,2)</f>
        <v>1.28</v>
      </c>
      <c r="H12" s="132" t="s">
        <v>91</v>
      </c>
      <c r="I12" s="104"/>
      <c r="J12" s="6"/>
      <c r="K12" s="127" t="n">
        <v>1.8</v>
      </c>
      <c r="L12" s="128" t="n">
        <v>1</v>
      </c>
      <c r="M12" s="129" t="n">
        <v>1</v>
      </c>
      <c r="N12" s="25" t="n">
        <f aca="false">M12*L12*E12</f>
        <v>1.06</v>
      </c>
      <c r="O12" s="25" t="n">
        <f aca="false">N12*1.21</f>
        <v>1.2826</v>
      </c>
    </row>
    <row r="13" customFormat="false" ht="13.8" hidden="false" customHeight="false" outlineLevel="0" collapsed="false">
      <c r="A13" s="6"/>
      <c r="B13" s="6"/>
      <c r="C13" s="6"/>
      <c r="D13" s="7"/>
      <c r="E13" s="8"/>
      <c r="F13" s="6"/>
      <c r="G13" s="134"/>
      <c r="H13" s="9"/>
      <c r="I13" s="6"/>
      <c r="J13" s="6"/>
      <c r="K13" s="6"/>
      <c r="L13" s="135"/>
      <c r="M13" s="136"/>
      <c r="N13" s="137" t="n">
        <f aca="false">SUM(N5:N12)</f>
        <v>3190.56</v>
      </c>
      <c r="O13" s="137" t="n">
        <f aca="false">N13*1.21</f>
        <v>3860.5776</v>
      </c>
    </row>
    <row r="14" customFormat="false" ht="13.8" hidden="false" customHeight="false" outlineLevel="0" collapsed="false">
      <c r="A14" s="6"/>
      <c r="B14" s="6"/>
      <c r="C14" s="6"/>
      <c r="D14" s="7"/>
      <c r="E14" s="8"/>
      <c r="F14" s="6"/>
      <c r="G14" s="134"/>
      <c r="H14" s="9"/>
      <c r="I14" s="6"/>
      <c r="J14" s="6"/>
      <c r="K14" s="6"/>
      <c r="L14" s="135"/>
      <c r="M14" s="136"/>
      <c r="N14" s="138"/>
    </row>
    <row r="15" customFormat="false" ht="24.75" hidden="false" customHeight="true" outlineLevel="0" collapsed="false">
      <c r="A15" s="6"/>
      <c r="B15" s="121" t="s">
        <v>99</v>
      </c>
      <c r="C15" s="133" t="s">
        <v>100</v>
      </c>
      <c r="D15" s="133"/>
      <c r="E15" s="123" t="n">
        <v>5.55</v>
      </c>
      <c r="F15" s="124"/>
      <c r="G15" s="125" t="n">
        <f aca="false">ROUND(+1.21*E15,2)</f>
        <v>6.72</v>
      </c>
      <c r="H15" s="126" t="s">
        <v>101</v>
      </c>
      <c r="I15" s="104"/>
      <c r="J15" s="6"/>
      <c r="K15" s="127" t="n">
        <v>1790</v>
      </c>
      <c r="L15" s="127"/>
      <c r="M15" s="139"/>
      <c r="N15" s="25" t="n">
        <f aca="false">K15*E15</f>
        <v>9934.5</v>
      </c>
      <c r="O15" s="25" t="n">
        <f aca="false">N15*1.21</f>
        <v>12020.745</v>
      </c>
    </row>
    <row r="16" customFormat="false" ht="24.75" hidden="false" customHeight="true" outlineLevel="0" collapsed="false">
      <c r="A16" s="6"/>
      <c r="B16" s="121"/>
      <c r="C16" s="133" t="s">
        <v>102</v>
      </c>
      <c r="D16" s="133"/>
      <c r="E16" s="140" t="n">
        <v>8.4</v>
      </c>
      <c r="F16" s="141"/>
      <c r="G16" s="125" t="n">
        <f aca="false">ROUND(+1.21*E16,2)</f>
        <v>10.16</v>
      </c>
      <c r="H16" s="142" t="s">
        <v>101</v>
      </c>
      <c r="I16" s="104"/>
      <c r="J16" s="6"/>
      <c r="K16" s="127" t="n">
        <v>355</v>
      </c>
      <c r="L16" s="127"/>
      <c r="M16" s="139"/>
      <c r="N16" s="25" t="n">
        <f aca="false">K16*E16</f>
        <v>2982</v>
      </c>
      <c r="O16" s="25" t="n">
        <f aca="false">N16*1.21</f>
        <v>3608.22</v>
      </c>
    </row>
    <row r="17" customFormat="false" ht="24.75" hidden="false" customHeight="true" outlineLevel="0" collapsed="false">
      <c r="A17" s="6"/>
      <c r="B17" s="121"/>
      <c r="C17" s="133" t="s">
        <v>103</v>
      </c>
      <c r="D17" s="133"/>
      <c r="E17" s="130" t="n">
        <v>5.55</v>
      </c>
      <c r="F17" s="131"/>
      <c r="G17" s="125" t="n">
        <f aca="false">ROUND(+1.21*E17,2)</f>
        <v>6.72</v>
      </c>
      <c r="H17" s="132" t="s">
        <v>101</v>
      </c>
      <c r="I17" s="104"/>
      <c r="J17" s="6"/>
      <c r="K17" s="127" t="n">
        <v>1</v>
      </c>
      <c r="L17" s="127"/>
      <c r="M17" s="129"/>
      <c r="N17" s="25" t="n">
        <f aca="false">K17*E17</f>
        <v>5.55</v>
      </c>
      <c r="O17" s="25" t="n">
        <f aca="false">N17*1.21</f>
        <v>6.7155</v>
      </c>
    </row>
    <row r="18" customFormat="false" ht="24.75" hidden="false" customHeight="true" outlineLevel="0" collapsed="false">
      <c r="A18" s="6"/>
      <c r="B18" s="121"/>
      <c r="C18" s="143" t="s">
        <v>104</v>
      </c>
      <c r="D18" s="143"/>
      <c r="E18" s="144" t="n">
        <v>12</v>
      </c>
      <c r="F18" s="145"/>
      <c r="G18" s="125" t="n">
        <f aca="false">ROUND(+1.21*E18,2)</f>
        <v>14.52</v>
      </c>
      <c r="H18" s="146" t="s">
        <v>101</v>
      </c>
      <c r="I18" s="104"/>
      <c r="J18" s="6"/>
      <c r="K18" s="127" t="n">
        <v>32</v>
      </c>
      <c r="L18" s="127"/>
      <c r="M18" s="129"/>
      <c r="N18" s="25" t="n">
        <f aca="false">K18*E18</f>
        <v>384</v>
      </c>
      <c r="O18" s="25" t="n">
        <f aca="false">N18*1.21</f>
        <v>464.64</v>
      </c>
    </row>
    <row r="19" customFormat="false" ht="13.8" hidden="false" customHeight="false" outlineLevel="0" collapsed="false">
      <c r="A19" s="6"/>
      <c r="B19" s="6"/>
      <c r="C19" s="6"/>
      <c r="D19" s="7"/>
      <c r="E19" s="8"/>
      <c r="F19" s="6"/>
      <c r="G19" s="134"/>
      <c r="H19" s="9"/>
      <c r="I19" s="6"/>
      <c r="J19" s="6"/>
      <c r="K19" s="6"/>
      <c r="L19" s="147"/>
      <c r="N19" s="137" t="n">
        <f aca="false">SUM(N15:N18)</f>
        <v>13306.05</v>
      </c>
      <c r="O19" s="137" t="n">
        <f aca="false">SUM(O15:O18)</f>
        <v>16100.3205</v>
      </c>
    </row>
    <row r="20" customFormat="false" ht="13.8" hidden="false" customHeight="false" outlineLevel="0" collapsed="false">
      <c r="A20" s="6"/>
      <c r="B20" s="6"/>
      <c r="C20" s="6"/>
      <c r="D20" s="7"/>
      <c r="E20" s="8"/>
      <c r="F20" s="6"/>
      <c r="G20" s="134"/>
      <c r="H20" s="9"/>
      <c r="I20" s="6"/>
      <c r="J20" s="6"/>
      <c r="K20" s="6"/>
      <c r="L20" s="147"/>
      <c r="N20" s="137"/>
    </row>
    <row r="21" customFormat="false" ht="24.75" hidden="false" customHeight="true" outlineLevel="0" collapsed="false">
      <c r="A21" s="6"/>
      <c r="B21" s="6"/>
      <c r="C21" s="58" t="s">
        <v>26</v>
      </c>
      <c r="D21" s="59" t="s">
        <v>105</v>
      </c>
      <c r="E21" s="37" t="n">
        <v>62.1</v>
      </c>
      <c r="F21" s="21"/>
      <c r="G21" s="148" t="n">
        <f aca="false">ROUND(+1.21*E21,2)</f>
        <v>75.14</v>
      </c>
      <c r="H21" s="6"/>
      <c r="I21" s="6"/>
      <c r="J21" s="6"/>
      <c r="K21" s="147"/>
      <c r="L21" s="147"/>
      <c r="M21" s="129" t="n">
        <v>0</v>
      </c>
      <c r="N21" s="25" t="n">
        <f aca="false">M21*E21</f>
        <v>0</v>
      </c>
      <c r="O21" s="25" t="n">
        <f aca="false">N21*1.21</f>
        <v>0</v>
      </c>
    </row>
    <row r="22" customFormat="false" ht="24.75" hidden="false" customHeight="true" outlineLevel="0" collapsed="false">
      <c r="A22" s="6"/>
      <c r="B22" s="6"/>
      <c r="C22" s="58"/>
      <c r="D22" s="149" t="s">
        <v>106</v>
      </c>
      <c r="E22" s="39" t="n">
        <v>62.1</v>
      </c>
      <c r="F22" s="28"/>
      <c r="G22" s="148" t="n">
        <f aca="false">ROUND(+1.21*E22,2)</f>
        <v>75.14</v>
      </c>
      <c r="H22" s="6"/>
      <c r="I22" s="6"/>
      <c r="J22" s="6"/>
      <c r="K22" s="147"/>
      <c r="L22" s="147"/>
      <c r="M22" s="150" t="n">
        <v>0</v>
      </c>
      <c r="N22" s="25" t="n">
        <f aca="false">M22*E22</f>
        <v>0</v>
      </c>
      <c r="O22" s="25" t="n">
        <f aca="false">N22*1.21</f>
        <v>0</v>
      </c>
    </row>
    <row r="23" customFormat="false" ht="24.75" hidden="false" customHeight="true" outlineLevel="0" collapsed="false">
      <c r="A23" s="6"/>
      <c r="B23" s="6"/>
      <c r="C23" s="58"/>
      <c r="D23" s="60" t="s">
        <v>107</v>
      </c>
      <c r="E23" s="151" t="n">
        <v>62.1</v>
      </c>
      <c r="F23" s="61"/>
      <c r="G23" s="148" t="n">
        <f aca="false">ROUND(+1.21*E23,2)</f>
        <v>75.14</v>
      </c>
      <c r="H23" s="62"/>
      <c r="I23" s="62"/>
      <c r="J23" s="6"/>
      <c r="K23" s="147"/>
      <c r="L23" s="147"/>
      <c r="M23" s="150" t="n">
        <v>66</v>
      </c>
      <c r="N23" s="25" t="n">
        <f aca="false">M23*E23</f>
        <v>4098.6</v>
      </c>
      <c r="O23" s="25" t="n">
        <f aca="false">N23*1.21</f>
        <v>4959.306</v>
      </c>
    </row>
    <row r="24" customFormat="false" ht="13.8" hidden="false" customHeight="false" outlineLevel="0" collapsed="false">
      <c r="A24" s="6"/>
      <c r="B24" s="6"/>
      <c r="C24" s="6"/>
      <c r="D24" s="7"/>
      <c r="E24" s="8"/>
      <c r="F24" s="6"/>
      <c r="G24" s="9"/>
      <c r="H24" s="62"/>
      <c r="I24" s="62"/>
      <c r="J24" s="6"/>
      <c r="K24" s="6"/>
      <c r="L24" s="6"/>
      <c r="N24" s="137" t="n">
        <f aca="false">SUM(N21:N23)</f>
        <v>4098.6</v>
      </c>
      <c r="O24" s="137" t="n">
        <f aca="false">SUM(O21:O23)</f>
        <v>4959.306</v>
      </c>
    </row>
    <row r="25" customFormat="false" ht="13.8" hidden="false" customHeight="false" outlineLevel="0" collapsed="false">
      <c r="A25" s="6"/>
      <c r="B25" s="6"/>
      <c r="C25" s="6"/>
      <c r="D25" s="7"/>
      <c r="E25" s="8"/>
      <c r="F25" s="6"/>
      <c r="G25" s="9"/>
      <c r="H25" s="62"/>
      <c r="I25" s="62"/>
      <c r="J25" s="6"/>
      <c r="K25" s="6"/>
      <c r="L25" s="6"/>
    </row>
    <row r="26" customFormat="false" ht="13.8" hidden="false" customHeight="false" outlineLevel="0" collapsed="false">
      <c r="A26" s="6"/>
      <c r="B26" s="6"/>
      <c r="C26" s="6"/>
      <c r="D26" s="7"/>
      <c r="E26" s="8"/>
      <c r="F26" s="6"/>
      <c r="G26" s="9"/>
      <c r="H26" s="62"/>
      <c r="I26" s="62"/>
      <c r="J26" s="6"/>
      <c r="K26" s="6"/>
      <c r="L26" s="6"/>
      <c r="M26" s="150" t="s">
        <v>29</v>
      </c>
      <c r="N26" s="152" t="n">
        <f aca="false">N13+N19+N24</f>
        <v>20595.21</v>
      </c>
      <c r="O26" s="152" t="n">
        <f aca="false">O13+O19+O24</f>
        <v>24920.2041</v>
      </c>
    </row>
    <row r="27" customFormat="false" ht="13.8" hidden="false" customHeight="false" outlineLevel="0" collapsed="false">
      <c r="A27" s="6"/>
      <c r="B27" s="6"/>
      <c r="C27" s="6"/>
      <c r="D27" s="7"/>
      <c r="E27" s="8"/>
      <c r="F27" s="6"/>
      <c r="G27" s="9"/>
      <c r="H27" s="62"/>
      <c r="I27" s="62"/>
      <c r="J27" s="6"/>
      <c r="K27" s="6"/>
      <c r="L27" s="6"/>
    </row>
  </sheetData>
  <mergeCells count="14">
    <mergeCell ref="E2:G2"/>
    <mergeCell ref="B3:D3"/>
    <mergeCell ref="G3:H3"/>
    <mergeCell ref="B5:B12"/>
    <mergeCell ref="C5:D9"/>
    <mergeCell ref="C10:D10"/>
    <mergeCell ref="C11:D11"/>
    <mergeCell ref="C12:D12"/>
    <mergeCell ref="B15:B18"/>
    <mergeCell ref="C15:D15"/>
    <mergeCell ref="C16:D16"/>
    <mergeCell ref="C17:D17"/>
    <mergeCell ref="C18:D18"/>
    <mergeCell ref="C21:C23"/>
  </mergeCells>
  <printOptions headings="false" gridLines="false" gridLinesSet="true" horizontalCentered="false" verticalCentered="false"/>
  <pageMargins left="0.182638888888889" right="0.7" top="0.75" bottom="0.75" header="0.511811023622047" footer="0.511811023622047"/>
  <pageSetup paperSize="9" scale="81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33"/>
  <sheetViews>
    <sheetView showFormulas="false" showGridLines="true" showRowColHeaders="true" showZeros="true" rightToLeft="false" tabSelected="false" showOutlineSymbols="true" defaultGridColor="true" view="pageBreakPreview" topLeftCell="C1" colorId="64" zoomScale="100" zoomScaleNormal="100" zoomScalePageLayoutView="100" workbookViewId="0">
      <selection pane="topLeft" activeCell="Z28" activeCellId="0" sqref="Z28"/>
    </sheetView>
  </sheetViews>
  <sheetFormatPr defaultColWidth="11.53515625" defaultRowHeight="12.8" zeroHeight="false" outlineLevelRow="0" outlineLevelCol="0"/>
  <cols>
    <col collapsed="false" customWidth="true" hidden="false" outlineLevel="0" max="1" min="1" style="1" width="2"/>
    <col collapsed="false" customWidth="true" hidden="false" outlineLevel="0" max="2" min="2" style="1" width="19.57"/>
    <col collapsed="false" customWidth="true" hidden="false" outlineLevel="0" max="3" min="3" style="1" width="36.06"/>
    <col collapsed="false" customWidth="true" hidden="false" outlineLevel="0" max="4" min="4" style="4" width="1.16"/>
    <col collapsed="false" customWidth="true" hidden="false" outlineLevel="0" max="5" min="5" style="1" width="9.06"/>
    <col collapsed="false" customWidth="true" hidden="false" outlineLevel="0" max="6" min="6" style="1" width="6.79"/>
    <col collapsed="false" customWidth="true" hidden="false" outlineLevel="0" max="7" min="7" style="1" width="9.54"/>
    <col collapsed="false" customWidth="true" hidden="false" outlineLevel="0" max="8" min="8" style="1" width="7.11"/>
    <col collapsed="false" customWidth="true" hidden="false" outlineLevel="0" max="9" min="9" style="1" width="21.67"/>
    <col collapsed="false" customWidth="true" hidden="false" outlineLevel="0" max="10" min="10" style="1" width="14.67"/>
    <col collapsed="false" customWidth="true" hidden="false" outlineLevel="0" max="11" min="11" style="1" width="8.24"/>
    <col collapsed="false" customWidth="true" hidden="false" outlineLevel="0" max="12" min="12" style="1" width="9.06"/>
    <col collapsed="false" customWidth="true" hidden="false" outlineLevel="0" max="13" min="13" style="1" width="10.19"/>
    <col collapsed="false" customWidth="true" hidden="false" outlineLevel="0" max="14" min="14" style="1" width="8.24"/>
    <col collapsed="false" customWidth="true" hidden="false" outlineLevel="0" max="15" min="15" style="1" width="9.21"/>
    <col collapsed="false" customWidth="true" hidden="false" outlineLevel="0" max="16" min="16" style="1" width="9.06"/>
    <col collapsed="false" customWidth="true" hidden="false" outlineLevel="0" max="17" min="17" style="1" width="9.38"/>
    <col collapsed="false" customWidth="true" hidden="false" outlineLevel="0" max="18" min="18" style="1" width="7.43"/>
    <col collapsed="false" customWidth="true" hidden="false" outlineLevel="0" max="19" min="19" style="1" width="9.06"/>
    <col collapsed="false" customWidth="true" hidden="false" outlineLevel="0" max="20" min="20" style="1" width="7.57"/>
    <col collapsed="false" customWidth="true" hidden="false" outlineLevel="0" max="21" min="21" style="1" width="27.01"/>
    <col collapsed="false" customWidth="true" hidden="false" outlineLevel="0" max="22" min="22" style="1" width="14.67"/>
    <col collapsed="false" customWidth="true" hidden="false" outlineLevel="0" max="23" min="23" style="1" width="7.11"/>
    <col collapsed="false" customWidth="true" hidden="false" outlineLevel="0" max="24" min="24" style="1" width="9.86"/>
    <col collapsed="false" customWidth="true" hidden="false" outlineLevel="0" max="25" min="25" style="1" width="9.38"/>
    <col collapsed="false" customWidth="true" hidden="false" outlineLevel="0" max="26" min="26" style="1" width="8.41"/>
    <col collapsed="false" customWidth="true" hidden="false" outlineLevel="0" max="27" min="27" style="1" width="10.51"/>
    <col collapsed="false" customWidth="true" hidden="false" outlineLevel="0" max="28" min="28" style="1" width="9.86"/>
    <col collapsed="false" customWidth="true" hidden="false" outlineLevel="0" max="29" min="29" style="1" width="2.16"/>
    <col collapsed="false" customWidth="true" hidden="false" outlineLevel="0" max="30" min="30" style="1" width="10.34"/>
    <col collapsed="false" customWidth="true" hidden="false" outlineLevel="0" max="31" min="31" style="1" width="10.19"/>
    <col collapsed="false" customWidth="true" hidden="false" outlineLevel="0" max="32" min="32" style="1" width="2.16"/>
    <col collapsed="false" customWidth="true" hidden="false" outlineLevel="0" max="35" min="33" style="1" width="10.83"/>
  </cols>
  <sheetData>
    <row r="1" customFormat="false" ht="60.75" hidden="false" customHeight="true" outlineLevel="0" collapsed="false">
      <c r="A1" s="6"/>
      <c r="B1" s="70"/>
      <c r="C1" s="6"/>
      <c r="D1" s="9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</row>
    <row r="2" customFormat="false" ht="45" hidden="false" customHeight="true" outlineLevel="0" collapsed="false">
      <c r="A2" s="71"/>
      <c r="B2" s="72" t="s">
        <v>30</v>
      </c>
      <c r="C2" s="73"/>
      <c r="D2" s="74"/>
      <c r="E2" s="153" t="s">
        <v>88</v>
      </c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5"/>
      <c r="Q2" s="153" t="s">
        <v>99</v>
      </c>
      <c r="R2" s="154"/>
      <c r="S2" s="154"/>
      <c r="T2" s="154"/>
      <c r="U2" s="154"/>
      <c r="V2" s="154"/>
      <c r="W2" s="154"/>
      <c r="X2" s="154"/>
      <c r="Y2" s="154"/>
      <c r="Z2" s="154"/>
      <c r="AA2" s="154"/>
      <c r="AB2" s="155"/>
      <c r="AC2" s="84"/>
      <c r="AD2" s="85"/>
      <c r="AE2" s="84"/>
      <c r="AF2" s="84"/>
      <c r="AG2" s="86"/>
      <c r="AH2" s="84"/>
      <c r="AI2" s="84"/>
    </row>
    <row r="3" customFormat="false" ht="43.5" hidden="false" customHeight="true" outlineLevel="0" collapsed="false">
      <c r="A3" s="71"/>
      <c r="B3" s="88" t="s">
        <v>37</v>
      </c>
      <c r="C3" s="89" t="s">
        <v>38</v>
      </c>
      <c r="D3" s="74"/>
      <c r="E3" s="156" t="s">
        <v>108</v>
      </c>
      <c r="F3" s="157" t="s">
        <v>85</v>
      </c>
      <c r="G3" s="158" t="s">
        <v>3</v>
      </c>
      <c r="H3" s="158"/>
      <c r="I3" s="158" t="s">
        <v>39</v>
      </c>
      <c r="J3" s="158" t="s">
        <v>26</v>
      </c>
      <c r="K3" s="158" t="s">
        <v>109</v>
      </c>
      <c r="L3" s="158"/>
      <c r="M3" s="158" t="s">
        <v>26</v>
      </c>
      <c r="N3" s="158"/>
      <c r="O3" s="158"/>
      <c r="P3" s="159" t="s">
        <v>40</v>
      </c>
      <c r="Q3" s="156" t="s">
        <v>84</v>
      </c>
      <c r="R3" s="157" t="s">
        <v>85</v>
      </c>
      <c r="S3" s="158" t="s">
        <v>3</v>
      </c>
      <c r="T3" s="158"/>
      <c r="U3" s="158" t="s">
        <v>39</v>
      </c>
      <c r="V3" s="158" t="s">
        <v>26</v>
      </c>
      <c r="W3" s="158" t="s">
        <v>109</v>
      </c>
      <c r="X3" s="158"/>
      <c r="Y3" s="158" t="s">
        <v>110</v>
      </c>
      <c r="Z3" s="158"/>
      <c r="AA3" s="158"/>
      <c r="AB3" s="159" t="s">
        <v>40</v>
      </c>
      <c r="AC3" s="84"/>
      <c r="AD3" s="91" t="s">
        <v>35</v>
      </c>
      <c r="AE3" s="160" t="s">
        <v>111</v>
      </c>
      <c r="AF3" s="84"/>
      <c r="AG3" s="84"/>
      <c r="AH3" s="84"/>
      <c r="AI3" s="84"/>
    </row>
    <row r="4" customFormat="false" ht="18.75" hidden="false" customHeight="true" outlineLevel="0" collapsed="false">
      <c r="A4" s="71"/>
      <c r="B4" s="95"/>
      <c r="C4" s="96"/>
      <c r="D4" s="74"/>
      <c r="E4" s="161"/>
      <c r="F4" s="162"/>
      <c r="G4" s="162" t="s">
        <v>112</v>
      </c>
      <c r="H4" s="163" t="s">
        <v>29</v>
      </c>
      <c r="I4" s="163"/>
      <c r="J4" s="163"/>
      <c r="K4" s="163" t="s">
        <v>113</v>
      </c>
      <c r="L4" s="163" t="s">
        <v>29</v>
      </c>
      <c r="M4" s="163" t="s">
        <v>114</v>
      </c>
      <c r="N4" s="163" t="s">
        <v>110</v>
      </c>
      <c r="O4" s="163" t="s">
        <v>29</v>
      </c>
      <c r="P4" s="93"/>
      <c r="Q4" s="161"/>
      <c r="R4" s="162"/>
      <c r="S4" s="162" t="s">
        <v>112</v>
      </c>
      <c r="T4" s="163" t="s">
        <v>29</v>
      </c>
      <c r="U4" s="163"/>
      <c r="V4" s="163"/>
      <c r="W4" s="163" t="s">
        <v>115</v>
      </c>
      <c r="X4" s="163" t="s">
        <v>29</v>
      </c>
      <c r="Y4" s="163" t="s">
        <v>114</v>
      </c>
      <c r="Z4" s="163" t="s">
        <v>110</v>
      </c>
      <c r="AA4" s="163" t="s">
        <v>26</v>
      </c>
      <c r="AB4" s="93"/>
      <c r="AC4" s="84"/>
      <c r="AD4" s="91"/>
      <c r="AE4" s="160"/>
      <c r="AF4" s="84"/>
      <c r="AG4" s="84"/>
      <c r="AH4" s="84"/>
      <c r="AI4" s="84"/>
    </row>
    <row r="5" customFormat="false" ht="24.75" hidden="false" customHeight="true" outlineLevel="0" collapsed="false">
      <c r="A5" s="6"/>
      <c r="B5" s="164" t="s">
        <v>46</v>
      </c>
      <c r="C5" s="165" t="s">
        <v>116</v>
      </c>
      <c r="D5" s="166"/>
      <c r="E5" s="167" t="n">
        <v>300</v>
      </c>
      <c r="F5" s="168" t="n">
        <v>3</v>
      </c>
      <c r="G5" s="169" t="n">
        <v>2</v>
      </c>
      <c r="H5" s="170" t="n">
        <f aca="false">IFERROR(ROUNDUP(E5/G5,0),"")</f>
        <v>150</v>
      </c>
      <c r="I5" s="171" t="s">
        <v>89</v>
      </c>
      <c r="J5" s="172" t="s">
        <v>107</v>
      </c>
      <c r="K5" s="173" t="n">
        <f aca="false">IFERROR(VLOOKUP(I5,'PREUS BASE TANQUES'!$C$5:$E$12,3,FALSE()),"")</f>
        <v>0.95</v>
      </c>
      <c r="L5" s="174" t="n">
        <f aca="false">IFERROR(K5*H5*F5,0)</f>
        <v>427.5</v>
      </c>
      <c r="M5" s="175" t="n">
        <v>100</v>
      </c>
      <c r="N5" s="175" t="n">
        <f aca="false">IFERROR(ROUNDUP(H5/M5,0),"")*2</f>
        <v>4</v>
      </c>
      <c r="O5" s="174" t="n">
        <f aca="false">IFERROR(VLOOKUP(J5,'PREUS BASE TANQUES'!$D$21:$E$23,2,FALSE())*N5,0)</f>
        <v>248.4</v>
      </c>
      <c r="P5" s="176" t="n">
        <f aca="false">IFERROR(+L5+O5,0)</f>
        <v>675.9</v>
      </c>
      <c r="Q5" s="167"/>
      <c r="R5" s="177"/>
      <c r="S5" s="169"/>
      <c r="T5" s="178" t="str">
        <f aca="false">IFERROR(ROUNDUP(Q5/S5,0),"")</f>
        <v/>
      </c>
      <c r="U5" s="172"/>
      <c r="V5" s="179"/>
      <c r="W5" s="174" t="str">
        <f aca="false">IFERROR(VLOOKUP(U5,'[2]PREUS BASE'!$D$10:$K$13,4,FALSE()),"")</f>
        <v/>
      </c>
      <c r="X5" s="174" t="n">
        <f aca="false">IFERROR(W5*Q5,0)</f>
        <v>0</v>
      </c>
      <c r="Y5" s="180" t="str">
        <f aca="false">IFERROR(VLOOKUP(U5,'[2]PREUS BASE'!$D$10:$K$13,7,FALSE()),"")</f>
        <v/>
      </c>
      <c r="Z5" s="180" t="str">
        <f aca="false">IFERROR(ROUNDUP(T5/Y5,0),"")</f>
        <v/>
      </c>
      <c r="AA5" s="174" t="n">
        <f aca="false">IFERROR(VLOOKUP(V5,'PREUS BASE TANQUES'!$D$21:$E$23,2,FALSE())*Z5,0)</f>
        <v>0</v>
      </c>
      <c r="AB5" s="176" t="n">
        <f aca="false">IFERROR(+X5+AA5,0)</f>
        <v>0</v>
      </c>
      <c r="AC5" s="104"/>
      <c r="AD5" s="181" t="n">
        <f aca="false">+AB5+P5</f>
        <v>675.9</v>
      </c>
      <c r="AE5" s="107" t="n">
        <f aca="false">AD5*1.21</f>
        <v>817.839</v>
      </c>
      <c r="AF5" s="6"/>
      <c r="AG5" s="182"/>
      <c r="AH5" s="6"/>
      <c r="AI5" s="6"/>
    </row>
    <row r="6" customFormat="false" ht="24.75" hidden="false" customHeight="true" outlineLevel="0" collapsed="false">
      <c r="A6" s="6"/>
      <c r="B6" s="97" t="s">
        <v>46</v>
      </c>
      <c r="C6" s="98" t="s">
        <v>49</v>
      </c>
      <c r="D6" s="183"/>
      <c r="E6" s="184" t="n">
        <v>150</v>
      </c>
      <c r="F6" s="185" t="n">
        <v>3</v>
      </c>
      <c r="G6" s="169" t="n">
        <v>2</v>
      </c>
      <c r="H6" s="186" t="n">
        <f aca="false">IFERROR(ROUNDUP(E6/G6,0),"")</f>
        <v>75</v>
      </c>
      <c r="I6" s="171" t="s">
        <v>89</v>
      </c>
      <c r="J6" s="172" t="s">
        <v>107</v>
      </c>
      <c r="K6" s="173" t="n">
        <f aca="false">IFERROR(VLOOKUP(I6,'PREUS BASE TANQUES'!$C$5:$E$12,3,FALSE()),"")</f>
        <v>0.95</v>
      </c>
      <c r="L6" s="173" t="n">
        <f aca="false">IFERROR(K6*H6*F6,0)</f>
        <v>213.75</v>
      </c>
      <c r="M6" s="175" t="n">
        <v>100</v>
      </c>
      <c r="N6" s="175" t="n">
        <f aca="false">IFERROR(ROUNDUP(H6/M6,0),"")*2</f>
        <v>2</v>
      </c>
      <c r="O6" s="174" t="n">
        <f aca="false">IFERROR(VLOOKUP(J6,'PREUS BASE TANQUES'!$D$21:$E$23,2,FALSE())*N6,0)</f>
        <v>124.2</v>
      </c>
      <c r="P6" s="187" t="n">
        <f aca="false">IFERROR(+L6+O6,0)</f>
        <v>337.95</v>
      </c>
      <c r="Q6" s="184" t="n">
        <v>100</v>
      </c>
      <c r="R6" s="188" t="n">
        <v>3</v>
      </c>
      <c r="S6" s="169" t="n">
        <v>3</v>
      </c>
      <c r="T6" s="189" t="n">
        <f aca="false">IFERROR(ROUNDUP(Q6/S6,0),"")</f>
        <v>34</v>
      </c>
      <c r="U6" s="105" t="s">
        <v>102</v>
      </c>
      <c r="V6" s="190" t="s">
        <v>107</v>
      </c>
      <c r="W6" s="173" t="n">
        <f aca="false">IFERROR(VLOOKUP(U6,'PREUS BASE TANQUES'!$C$15:$E$18,3,FALSE()),"")</f>
        <v>8.4</v>
      </c>
      <c r="X6" s="173" t="n">
        <f aca="false">IFERROR(W6*Q6,0)</f>
        <v>840</v>
      </c>
      <c r="Y6" s="175" t="n">
        <v>100</v>
      </c>
      <c r="Z6" s="175" t="n">
        <f aca="false">IFERROR(ROUNDUP(T6/Y6,0),"")*2</f>
        <v>2</v>
      </c>
      <c r="AA6" s="174" t="n">
        <f aca="false">IFERROR(VLOOKUP(V6,'PREUS BASE TANQUES'!$D$21:$E$23,2,FALSE())*Z6,0)</f>
        <v>124.2</v>
      </c>
      <c r="AB6" s="187" t="n">
        <f aca="false">IFERROR(+X6+AA6,0)</f>
        <v>964.2</v>
      </c>
      <c r="AC6" s="104"/>
      <c r="AD6" s="103" t="n">
        <f aca="false">+AB6+P6</f>
        <v>1302.15</v>
      </c>
      <c r="AE6" s="107" t="n">
        <f aca="false">AD6*1.21</f>
        <v>1575.6015</v>
      </c>
      <c r="AF6" s="6"/>
      <c r="AG6" s="6"/>
      <c r="AH6" s="6"/>
      <c r="AI6" s="6"/>
    </row>
    <row r="7" customFormat="false" ht="24.75" hidden="false" customHeight="true" outlineLevel="0" collapsed="false">
      <c r="A7" s="6"/>
      <c r="B7" s="97" t="s">
        <v>46</v>
      </c>
      <c r="C7" s="98" t="s">
        <v>117</v>
      </c>
      <c r="D7" s="183"/>
      <c r="E7" s="184" t="n">
        <v>60</v>
      </c>
      <c r="F7" s="185" t="n">
        <v>10</v>
      </c>
      <c r="G7" s="169" t="n">
        <v>2</v>
      </c>
      <c r="H7" s="186" t="n">
        <f aca="false">IFERROR(ROUNDUP(E7/G7,0),"")</f>
        <v>30</v>
      </c>
      <c r="I7" s="171" t="s">
        <v>89</v>
      </c>
      <c r="J7" s="172" t="s">
        <v>107</v>
      </c>
      <c r="K7" s="173" t="n">
        <f aca="false">IFERROR(VLOOKUP(I7,'PREUS BASE TANQUES'!$C$5:$E$12,3,FALSE()),"")</f>
        <v>0.95</v>
      </c>
      <c r="L7" s="173" t="n">
        <f aca="false">IFERROR(K7*H7*F7,0)</f>
        <v>285</v>
      </c>
      <c r="M7" s="175" t="n">
        <v>100</v>
      </c>
      <c r="N7" s="175" t="n">
        <f aca="false">IFERROR(ROUNDUP(H7/M7,0),"")*2</f>
        <v>2</v>
      </c>
      <c r="O7" s="174" t="n">
        <f aca="false">IFERROR(VLOOKUP(J7,'PREUS BASE TANQUES'!$D$21:$E$23,2,FALSE())*N7,0)</f>
        <v>124.2</v>
      </c>
      <c r="P7" s="187" t="n">
        <f aca="false">IFERROR(+L7+O7,0)</f>
        <v>409.2</v>
      </c>
      <c r="Q7" s="184" t="n">
        <v>160</v>
      </c>
      <c r="R7" s="188" t="n">
        <v>10</v>
      </c>
      <c r="S7" s="169" t="n">
        <v>3</v>
      </c>
      <c r="T7" s="189" t="n">
        <f aca="false">IFERROR(ROUNDUP(Q7/S7,0),"")</f>
        <v>54</v>
      </c>
      <c r="U7" s="105" t="s">
        <v>102</v>
      </c>
      <c r="V7" s="190" t="s">
        <v>107</v>
      </c>
      <c r="W7" s="173" t="n">
        <f aca="false">IFERROR(VLOOKUP(U7,'PREUS BASE TANQUES'!$C$15:$E$18,3,FALSE()),"")</f>
        <v>8.4</v>
      </c>
      <c r="X7" s="173" t="n">
        <f aca="false">IFERROR(W7*Q7,0)</f>
        <v>1344</v>
      </c>
      <c r="Y7" s="175" t="n">
        <v>100</v>
      </c>
      <c r="Z7" s="175" t="n">
        <f aca="false">IFERROR(ROUNDUP(T7/Y7,0),"")*2</f>
        <v>2</v>
      </c>
      <c r="AA7" s="174" t="n">
        <f aca="false">IFERROR(VLOOKUP(V7,'PREUS BASE TANQUES'!$D$21:$E$23,2,FALSE())*Z7,0)</f>
        <v>124.2</v>
      </c>
      <c r="AB7" s="187" t="n">
        <f aca="false">IFERROR(+X7+AA7,0)</f>
        <v>1468.2</v>
      </c>
      <c r="AC7" s="104"/>
      <c r="AD7" s="103" t="n">
        <f aca="false">+AB7+P7</f>
        <v>1877.4</v>
      </c>
      <c r="AE7" s="107" t="n">
        <f aca="false">AD7*1.21</f>
        <v>2271.654</v>
      </c>
      <c r="AF7" s="6"/>
      <c r="AG7" s="6"/>
      <c r="AH7" s="6"/>
      <c r="AI7" s="6"/>
    </row>
    <row r="8" customFormat="false" ht="24.75" hidden="false" customHeight="true" outlineLevel="0" collapsed="false">
      <c r="A8" s="6"/>
      <c r="B8" s="97" t="s">
        <v>46</v>
      </c>
      <c r="C8" s="98" t="s">
        <v>118</v>
      </c>
      <c r="D8" s="183"/>
      <c r="E8" s="184"/>
      <c r="F8" s="185"/>
      <c r="G8" s="169" t="str">
        <f aca="false">IFERROR(VLOOKUP(I8,'PREUS BASE TANQUES'!$D$5:$I$12,8,FALSE()),"")</f>
        <v/>
      </c>
      <c r="H8" s="186" t="str">
        <f aca="false">IFERROR(ROUNDUP(E8/G8,0),"")</f>
        <v/>
      </c>
      <c r="I8" s="171"/>
      <c r="J8" s="172"/>
      <c r="K8" s="173" t="str">
        <f aca="false">IFERROR(VLOOKUP(I8,'PREUS BASE TANQUES'!$C$5:$E$12,3,FALSE()),"")</f>
        <v/>
      </c>
      <c r="L8" s="173" t="n">
        <f aca="false">IFERROR(K8*H8*F8,0)</f>
        <v>0</v>
      </c>
      <c r="M8" s="175"/>
      <c r="N8" s="175"/>
      <c r="O8" s="174" t="n">
        <f aca="false">IFERROR(VLOOKUP(J8,'PREUS BASE TANQUES'!$D$21:$E$23,2,FALSE())*N8,0)</f>
        <v>0</v>
      </c>
      <c r="P8" s="187" t="n">
        <f aca="false">IFERROR(+L8+O8,0)</f>
        <v>0</v>
      </c>
      <c r="Q8" s="184" t="n">
        <v>16</v>
      </c>
      <c r="R8" s="188" t="n">
        <v>10</v>
      </c>
      <c r="S8" s="169" t="n">
        <v>1</v>
      </c>
      <c r="T8" s="189" t="n">
        <f aca="false">IFERROR(ROUNDUP(Q8/S8,0),"")</f>
        <v>16</v>
      </c>
      <c r="U8" s="105" t="s">
        <v>104</v>
      </c>
      <c r="V8" s="190" t="s">
        <v>107</v>
      </c>
      <c r="W8" s="173" t="n">
        <f aca="false">IFERROR(VLOOKUP(U8,'PREUS BASE TANQUES'!$C$15:$E$18,3,FALSE()),"")</f>
        <v>12</v>
      </c>
      <c r="X8" s="173" t="n">
        <f aca="false">IFERROR(W8*Q8,0)</f>
        <v>192</v>
      </c>
      <c r="Y8" s="175" t="n">
        <v>80</v>
      </c>
      <c r="Z8" s="175" t="n">
        <f aca="false">IFERROR(ROUNDUP(T8/Y8,0),"")*2</f>
        <v>2</v>
      </c>
      <c r="AA8" s="174" t="n">
        <f aca="false">IFERROR(VLOOKUP(V8,'PREUS BASE TANQUES'!$D$21:$E$23,2,FALSE())*Z8,0)</f>
        <v>124.2</v>
      </c>
      <c r="AB8" s="187" t="n">
        <f aca="false">IFERROR(+X8+AA8,0)</f>
        <v>316.2</v>
      </c>
      <c r="AC8" s="104"/>
      <c r="AD8" s="103" t="n">
        <f aca="false">+AB8+P8</f>
        <v>316.2</v>
      </c>
      <c r="AE8" s="107" t="n">
        <f aca="false">AD8*1.21</f>
        <v>382.602</v>
      </c>
      <c r="AF8" s="6"/>
      <c r="AG8" s="6"/>
      <c r="AH8" s="6"/>
      <c r="AI8" s="6"/>
    </row>
    <row r="9" customFormat="false" ht="24.75" hidden="false" customHeight="true" outlineLevel="0" collapsed="false">
      <c r="A9" s="6"/>
      <c r="B9" s="97" t="s">
        <v>46</v>
      </c>
      <c r="C9" s="98" t="s">
        <v>54</v>
      </c>
      <c r="D9" s="183"/>
      <c r="E9" s="184" t="n">
        <v>60</v>
      </c>
      <c r="F9" s="185" t="n">
        <v>10</v>
      </c>
      <c r="G9" s="169" t="n">
        <v>2</v>
      </c>
      <c r="H9" s="186" t="n">
        <f aca="false">IFERROR(ROUNDUP(E9/G9,0),"")</f>
        <v>30</v>
      </c>
      <c r="I9" s="171" t="s">
        <v>89</v>
      </c>
      <c r="J9" s="172" t="s">
        <v>107</v>
      </c>
      <c r="K9" s="173" t="n">
        <f aca="false">IFERROR(VLOOKUP(I9,'PREUS BASE TANQUES'!$C$5:$E$12,3,FALSE()),"")</f>
        <v>0.95</v>
      </c>
      <c r="L9" s="173" t="n">
        <f aca="false">IFERROR(K9*H9*F9,0)</f>
        <v>285</v>
      </c>
      <c r="M9" s="175" t="n">
        <v>100</v>
      </c>
      <c r="N9" s="175" t="n">
        <f aca="false">IFERROR(ROUNDUP(H9/M9,0),"")*2</f>
        <v>2</v>
      </c>
      <c r="O9" s="174" t="n">
        <f aca="false">IFERROR(VLOOKUP(J9,'PREUS BASE TANQUES'!$D$21:$E$23,2,FALSE())*N9,0)</f>
        <v>124.2</v>
      </c>
      <c r="P9" s="187" t="n">
        <f aca="false">IFERROR(+L9+O9,0)</f>
        <v>409.2</v>
      </c>
      <c r="Q9" s="184" t="n">
        <v>45</v>
      </c>
      <c r="R9" s="188" t="n">
        <v>10</v>
      </c>
      <c r="S9" s="169" t="n">
        <v>3</v>
      </c>
      <c r="T9" s="189" t="n">
        <f aca="false">IFERROR(ROUNDUP(Q9/S9,0),"")</f>
        <v>15</v>
      </c>
      <c r="U9" s="105" t="s">
        <v>102</v>
      </c>
      <c r="V9" s="190" t="s">
        <v>107</v>
      </c>
      <c r="W9" s="173" t="n">
        <f aca="false">IFERROR(VLOOKUP(U9,'PREUS BASE TANQUES'!$C$15:$E$18,3,FALSE()),"")</f>
        <v>8.4</v>
      </c>
      <c r="X9" s="173" t="n">
        <f aca="false">IFERROR(W9*Q9,0)</f>
        <v>378</v>
      </c>
      <c r="Y9" s="175" t="n">
        <v>100</v>
      </c>
      <c r="Z9" s="175" t="n">
        <f aca="false">IFERROR(ROUNDUP(T9/Y9,0),"")*2</f>
        <v>2</v>
      </c>
      <c r="AA9" s="174" t="n">
        <f aca="false">IFERROR(VLOOKUP(V9,'PREUS BASE TANQUES'!$D$21:$E$23,2,FALSE())*Z9,0)</f>
        <v>124.2</v>
      </c>
      <c r="AB9" s="187" t="n">
        <f aca="false">IFERROR(+X9+AA9,0)</f>
        <v>502.2</v>
      </c>
      <c r="AC9" s="104"/>
      <c r="AD9" s="103" t="n">
        <f aca="false">+AB9+P9</f>
        <v>911.4</v>
      </c>
      <c r="AE9" s="107" t="n">
        <f aca="false">AD9*1.21</f>
        <v>1102.794</v>
      </c>
      <c r="AF9" s="6"/>
      <c r="AG9" s="6"/>
      <c r="AH9" s="6"/>
      <c r="AI9" s="6"/>
    </row>
    <row r="10" customFormat="false" ht="24.75" hidden="false" customHeight="true" outlineLevel="0" collapsed="false">
      <c r="A10" s="6"/>
      <c r="B10" s="97" t="s">
        <v>46</v>
      </c>
      <c r="C10" s="98" t="s">
        <v>119</v>
      </c>
      <c r="D10" s="183"/>
      <c r="E10" s="184" t="n">
        <v>6</v>
      </c>
      <c r="F10" s="185" t="n">
        <v>10</v>
      </c>
      <c r="G10" s="169" t="n">
        <v>3</v>
      </c>
      <c r="H10" s="186" t="n">
        <f aca="false">IFERROR(ROUNDUP(E10/G10,0),"")</f>
        <v>2</v>
      </c>
      <c r="I10" s="171" t="s">
        <v>97</v>
      </c>
      <c r="J10" s="172" t="s">
        <v>107</v>
      </c>
      <c r="K10" s="173" t="n">
        <f aca="false">IFERROR(VLOOKUP(I10,'PREUS BASE TANQUES'!$C$5:$E$12,3,FALSE()),"")</f>
        <v>0.35</v>
      </c>
      <c r="L10" s="173" t="n">
        <f aca="false">IFERROR(K10*H10*F10,0)</f>
        <v>7</v>
      </c>
      <c r="M10" s="175" t="n">
        <v>100</v>
      </c>
      <c r="N10" s="175" t="n">
        <f aca="false">IFERROR(ROUNDUP(H10/M10,0),"")*2</f>
        <v>2</v>
      </c>
      <c r="O10" s="174" t="n">
        <f aca="false">IFERROR(VLOOKUP(J10,'PREUS BASE TANQUES'!$D$21:$E$23,2,FALSE())*N10,0)</f>
        <v>124.2</v>
      </c>
      <c r="P10" s="187" t="n">
        <f aca="false">IFERROR(+L10+O10,0)</f>
        <v>131.2</v>
      </c>
      <c r="Q10" s="184"/>
      <c r="R10" s="188"/>
      <c r="S10" s="169" t="str">
        <f aca="false">IFERROR(VLOOKUP('ANNEX ACTIVITAT TANQUES'!U10,'PREUS BASE TANQUES'!$D$15:$I$18,8,FALSE()),"")</f>
        <v/>
      </c>
      <c r="T10" s="189" t="str">
        <f aca="false">IFERROR(ROUNDUP(Q10/S10,0),"")</f>
        <v/>
      </c>
      <c r="U10" s="105"/>
      <c r="V10" s="190"/>
      <c r="W10" s="173" t="str">
        <f aca="false">IFERROR(VLOOKUP(U10,'PREUS BASE TANQUES'!$C$15:$E$18,3,FALSE()),"")</f>
        <v/>
      </c>
      <c r="X10" s="173" t="n">
        <f aca="false">IFERROR(W10*Q10,0)</f>
        <v>0</v>
      </c>
      <c r="Y10" s="175" t="str">
        <f aca="false">IFERROR(VLOOKUP(U10,'PREUS BASE TANQUES'!$D$15:$I$18,7,FALSE()),"")</f>
        <v/>
      </c>
      <c r="Z10" s="175"/>
      <c r="AA10" s="174" t="n">
        <f aca="false">IFERROR(VLOOKUP(V10,'PREUS BASE TANQUES'!$D$21:$E$23,2,FALSE())*Z10,0)</f>
        <v>0</v>
      </c>
      <c r="AB10" s="187" t="n">
        <f aca="false">IFERROR(+X10+AA10,0)</f>
        <v>0</v>
      </c>
      <c r="AC10" s="104"/>
      <c r="AD10" s="103" t="n">
        <f aca="false">+AB10+P10</f>
        <v>131.2</v>
      </c>
      <c r="AE10" s="107" t="n">
        <f aca="false">AD10*1.21</f>
        <v>158.752</v>
      </c>
      <c r="AF10" s="6"/>
      <c r="AG10" s="6"/>
      <c r="AH10" s="6"/>
      <c r="AI10" s="6"/>
    </row>
    <row r="11" customFormat="false" ht="24.75" hidden="false" customHeight="true" outlineLevel="0" collapsed="false">
      <c r="A11" s="6"/>
      <c r="B11" s="97" t="s">
        <v>46</v>
      </c>
      <c r="C11" s="98" t="s">
        <v>120</v>
      </c>
      <c r="D11" s="183"/>
      <c r="E11" s="184" t="n">
        <v>60</v>
      </c>
      <c r="F11" s="185" t="n">
        <v>5</v>
      </c>
      <c r="G11" s="169" t="n">
        <v>2</v>
      </c>
      <c r="H11" s="186" t="n">
        <f aca="false">IFERROR(ROUNDUP(E11/G11,0),"")</f>
        <v>30</v>
      </c>
      <c r="I11" s="171" t="s">
        <v>89</v>
      </c>
      <c r="J11" s="172" t="s">
        <v>107</v>
      </c>
      <c r="K11" s="173" t="n">
        <f aca="false">IFERROR(VLOOKUP(I11,'PREUS BASE TANQUES'!$C$5:$E$12,3,FALSE()),"")</f>
        <v>0.95</v>
      </c>
      <c r="L11" s="173" t="n">
        <f aca="false">IFERROR(K11*H11*F11,0)</f>
        <v>142.5</v>
      </c>
      <c r="M11" s="175" t="n">
        <v>100</v>
      </c>
      <c r="N11" s="175" t="n">
        <f aca="false">IFERROR(ROUNDUP(H11/M11,0),"")*2</f>
        <v>2</v>
      </c>
      <c r="O11" s="174" t="n">
        <f aca="false">IFERROR(VLOOKUP(J11,'PREUS BASE TANQUES'!$D$21:$E$23,2,FALSE())*N11,0)</f>
        <v>124.2</v>
      </c>
      <c r="P11" s="187" t="n">
        <f aca="false">IFERROR(+L11+O11,0)</f>
        <v>266.7</v>
      </c>
      <c r="Q11" s="184" t="n">
        <v>50</v>
      </c>
      <c r="R11" s="188" t="n">
        <v>10</v>
      </c>
      <c r="S11" s="169" t="n">
        <v>3</v>
      </c>
      <c r="T11" s="189" t="n">
        <f aca="false">IFERROR(ROUNDUP(Q11/S11,0),"")</f>
        <v>17</v>
      </c>
      <c r="U11" s="105" t="s">
        <v>102</v>
      </c>
      <c r="V11" s="190" t="s">
        <v>107</v>
      </c>
      <c r="W11" s="173" t="n">
        <f aca="false">IFERROR(VLOOKUP(U11,'PREUS BASE TANQUES'!$C$15:$E$18,3,FALSE()),"")</f>
        <v>8.4</v>
      </c>
      <c r="X11" s="173" t="n">
        <f aca="false">IFERROR(W11*Q11,0)</f>
        <v>420</v>
      </c>
      <c r="Y11" s="175" t="n">
        <v>100</v>
      </c>
      <c r="Z11" s="175" t="n">
        <f aca="false">IFERROR(ROUNDUP(T11/Y11,0),"")*2</f>
        <v>2</v>
      </c>
      <c r="AA11" s="174" t="n">
        <f aca="false">IFERROR(VLOOKUP(V11,'PREUS BASE TANQUES'!$D$21:$E$23,2,FALSE())*Z11,0)</f>
        <v>124.2</v>
      </c>
      <c r="AB11" s="187" t="n">
        <f aca="false">IFERROR(+X11+AA11,0)</f>
        <v>544.2</v>
      </c>
      <c r="AC11" s="104"/>
      <c r="AD11" s="103" t="n">
        <f aca="false">+AB11+P11</f>
        <v>810.9</v>
      </c>
      <c r="AE11" s="107" t="n">
        <f aca="false">AD11*1.21</f>
        <v>981.189</v>
      </c>
      <c r="AF11" s="6"/>
      <c r="AG11" s="6"/>
      <c r="AH11" s="6"/>
      <c r="AI11" s="6"/>
    </row>
    <row r="12" customFormat="false" ht="24.75" hidden="false" customHeight="true" outlineLevel="0" collapsed="false">
      <c r="A12" s="6"/>
      <c r="B12" s="97" t="s">
        <v>46</v>
      </c>
      <c r="C12" s="98" t="s">
        <v>120</v>
      </c>
      <c r="D12" s="183"/>
      <c r="E12" s="184"/>
      <c r="F12" s="185"/>
      <c r="G12" s="169" t="str">
        <f aca="false">IFERROR(VLOOKUP(I12,'PREUS BASE TANQUES'!$D$5:$I$12,8,FALSE()),"")</f>
        <v/>
      </c>
      <c r="H12" s="186" t="str">
        <f aca="false">IFERROR(ROUNDUP(E12/G12,0),"")</f>
        <v/>
      </c>
      <c r="I12" s="171"/>
      <c r="J12" s="172"/>
      <c r="K12" s="173" t="str">
        <f aca="false">IFERROR(VLOOKUP(I12,'PREUS BASE TANQUES'!$C$5:$E$12,3,FALSE()),"")</f>
        <v/>
      </c>
      <c r="L12" s="173"/>
      <c r="M12" s="175" t="str">
        <f aca="false">IFERROR(VLOOKUP(I12,'PREUS BASE TANQUES'!$D$5:$I$12,7,FALSE()),"")</f>
        <v/>
      </c>
      <c r="N12" s="175"/>
      <c r="O12" s="174" t="n">
        <f aca="false">IFERROR(VLOOKUP(J12,'PREUS BASE TANQUES'!$D$21:$E$23,2,FALSE())*N12,0)</f>
        <v>0</v>
      </c>
      <c r="P12" s="187" t="n">
        <f aca="false">IFERROR(+L12+O12,0)</f>
        <v>0</v>
      </c>
      <c r="Q12" s="184" t="n">
        <v>16</v>
      </c>
      <c r="R12" s="188" t="n">
        <v>10</v>
      </c>
      <c r="S12" s="169" t="n">
        <v>1</v>
      </c>
      <c r="T12" s="189" t="n">
        <f aca="false">IFERROR(ROUNDUP(Q12/S12,0),"")</f>
        <v>16</v>
      </c>
      <c r="U12" s="105" t="s">
        <v>104</v>
      </c>
      <c r="V12" s="190" t="s">
        <v>107</v>
      </c>
      <c r="W12" s="173" t="n">
        <f aca="false">IFERROR(VLOOKUP(U12,'PREUS BASE TANQUES'!$C$15:$E$18,3,FALSE()),"")</f>
        <v>12</v>
      </c>
      <c r="X12" s="173" t="n">
        <f aca="false">IFERROR(W12*Q12,0)</f>
        <v>192</v>
      </c>
      <c r="Y12" s="175" t="n">
        <v>80</v>
      </c>
      <c r="Z12" s="175" t="n">
        <f aca="false">IFERROR(ROUNDUP(T12/Y12,0),"")*2</f>
        <v>2</v>
      </c>
      <c r="AA12" s="174" t="n">
        <f aca="false">IFERROR(VLOOKUP(V12,'PREUS BASE TANQUES'!$D$21:$E$23,2,FALSE())*Z12,0)</f>
        <v>124.2</v>
      </c>
      <c r="AB12" s="187" t="n">
        <f aca="false">IFERROR(+X12+AA12,0)</f>
        <v>316.2</v>
      </c>
      <c r="AC12" s="104"/>
      <c r="AD12" s="103" t="n">
        <f aca="false">+AB12+P12</f>
        <v>316.2</v>
      </c>
      <c r="AE12" s="107" t="n">
        <f aca="false">AD12*1.21</f>
        <v>382.602</v>
      </c>
      <c r="AF12" s="6"/>
      <c r="AG12" s="6"/>
      <c r="AH12" s="6"/>
      <c r="AI12" s="6"/>
    </row>
    <row r="13" customFormat="false" ht="24.75" hidden="false" customHeight="true" outlineLevel="0" collapsed="false">
      <c r="A13" s="6"/>
      <c r="B13" s="97" t="s">
        <v>46</v>
      </c>
      <c r="C13" s="98" t="s">
        <v>121</v>
      </c>
      <c r="D13" s="183"/>
      <c r="E13" s="184"/>
      <c r="F13" s="185"/>
      <c r="G13" s="169" t="str">
        <f aca="false">IFERROR(VLOOKUP(I13,'PREUS BASE TANQUES'!$D$5:$I$12,8,FALSE()),"")</f>
        <v/>
      </c>
      <c r="H13" s="186" t="str">
        <f aca="false">IFERROR(ROUNDUP(E13/G13,0),"")</f>
        <v/>
      </c>
      <c r="I13" s="171"/>
      <c r="J13" s="172"/>
      <c r="K13" s="173" t="str">
        <f aca="false">IFERROR(VLOOKUP(I13,'PREUS BASE TANQUES'!$C$5:$E$12,3,FALSE()),"")</f>
        <v/>
      </c>
      <c r="L13" s="173"/>
      <c r="M13" s="175" t="str">
        <f aca="false">IFERROR(VLOOKUP(I13,'PREUS BASE TANQUES'!$D$5:$I$12,7,FALSE()),"")</f>
        <v/>
      </c>
      <c r="N13" s="175"/>
      <c r="O13" s="174" t="n">
        <f aca="false">IFERROR(VLOOKUP(J13,'PREUS BASE TANQUES'!$D$21:$E$23,2,FALSE())*N13,0)</f>
        <v>0</v>
      </c>
      <c r="P13" s="187" t="n">
        <f aca="false">IFERROR(+L13+O13,0)</f>
        <v>0</v>
      </c>
      <c r="Q13" s="184" t="n">
        <v>160</v>
      </c>
      <c r="R13" s="188" t="n">
        <v>10</v>
      </c>
      <c r="S13" s="169" t="n">
        <v>3</v>
      </c>
      <c r="T13" s="189" t="n">
        <f aca="false">IFERROR(ROUNDUP(Q13/S13,0),"")</f>
        <v>54</v>
      </c>
      <c r="U13" s="105" t="s">
        <v>100</v>
      </c>
      <c r="V13" s="190" t="s">
        <v>107</v>
      </c>
      <c r="W13" s="173" t="n">
        <f aca="false">IFERROR(VLOOKUP(U13,'PREUS BASE TANQUES'!$C$15:$E$18,3,FALSE()),"")</f>
        <v>5.55</v>
      </c>
      <c r="X13" s="173" t="n">
        <f aca="false">IFERROR(W13*Q13,0)</f>
        <v>888</v>
      </c>
      <c r="Y13" s="175" t="n">
        <v>100</v>
      </c>
      <c r="Z13" s="175" t="n">
        <f aca="false">IFERROR(ROUNDUP(T13/Y13,0),"")*2</f>
        <v>2</v>
      </c>
      <c r="AA13" s="174" t="n">
        <f aca="false">IFERROR(VLOOKUP(V13,'PREUS BASE TANQUES'!$D$21:$E$23,2,FALSE())*Z13,0)</f>
        <v>124.2</v>
      </c>
      <c r="AB13" s="187" t="n">
        <f aca="false">IFERROR(+X13+AA13,0)</f>
        <v>1012.2</v>
      </c>
      <c r="AC13" s="104"/>
      <c r="AD13" s="103" t="n">
        <f aca="false">+AB13+P13</f>
        <v>1012.2</v>
      </c>
      <c r="AE13" s="107" t="n">
        <f aca="false">AD13*1.21</f>
        <v>1224.762</v>
      </c>
      <c r="AF13" s="6"/>
      <c r="AG13" s="6"/>
      <c r="AH13" s="6"/>
      <c r="AI13" s="6"/>
    </row>
    <row r="14" customFormat="false" ht="24.75" hidden="false" customHeight="true" outlineLevel="0" collapsed="false">
      <c r="A14" s="6"/>
      <c r="B14" s="97" t="s">
        <v>46</v>
      </c>
      <c r="C14" s="98" t="s">
        <v>57</v>
      </c>
      <c r="D14" s="183"/>
      <c r="E14" s="184"/>
      <c r="F14" s="185"/>
      <c r="G14" s="169" t="str">
        <f aca="false">IFERROR(VLOOKUP(I14,'PREUS BASE TANQUES'!$D$5:$I$12,8,FALSE()),"")</f>
        <v/>
      </c>
      <c r="H14" s="186" t="str">
        <f aca="false">IFERROR(ROUNDUP(E14/G14,0),"")</f>
        <v/>
      </c>
      <c r="I14" s="171"/>
      <c r="J14" s="172"/>
      <c r="K14" s="173" t="str">
        <f aca="false">IFERROR(VLOOKUP(I14,'PREUS BASE TANQUES'!$C$5:$E$12,3,FALSE()),"")</f>
        <v/>
      </c>
      <c r="L14" s="173"/>
      <c r="M14" s="175" t="str">
        <f aca="false">IFERROR(VLOOKUP(I14,'PREUS BASE TANQUES'!$D$5:$I$12,7,FALSE()),"")</f>
        <v/>
      </c>
      <c r="N14" s="175"/>
      <c r="O14" s="174" t="n">
        <f aca="false">IFERROR(VLOOKUP(J14,'PREUS BASE TANQUES'!$D$21:$E$23,2,FALSE())*N14,0)</f>
        <v>0</v>
      </c>
      <c r="P14" s="187" t="n">
        <f aca="false">IFERROR(+L14+O14,0)</f>
        <v>0</v>
      </c>
      <c r="Q14" s="184" t="n">
        <v>780</v>
      </c>
      <c r="R14" s="188" t="n">
        <v>10</v>
      </c>
      <c r="S14" s="169" t="n">
        <v>3</v>
      </c>
      <c r="T14" s="189" t="n">
        <f aca="false">IFERROR(ROUNDUP(Q14/S14,0),"")</f>
        <v>260</v>
      </c>
      <c r="U14" s="105" t="s">
        <v>100</v>
      </c>
      <c r="V14" s="190" t="s">
        <v>107</v>
      </c>
      <c r="W14" s="173" t="n">
        <f aca="false">IFERROR(VLOOKUP(U14,'PREUS BASE TANQUES'!$C$15:$E$18,3,FALSE()),"")</f>
        <v>5.55</v>
      </c>
      <c r="X14" s="173" t="n">
        <f aca="false">IFERROR(W14*Q14,0)</f>
        <v>4329</v>
      </c>
      <c r="Y14" s="175" t="n">
        <v>100</v>
      </c>
      <c r="Z14" s="175" t="n">
        <f aca="false">IFERROR(ROUNDUP(T14/Y14,0),"")*2</f>
        <v>6</v>
      </c>
      <c r="AA14" s="174" t="n">
        <f aca="false">IFERROR(VLOOKUP(V14,'PREUS BASE TANQUES'!$D$21:$E$23,2,FALSE())*Z14,0)</f>
        <v>372.6</v>
      </c>
      <c r="AB14" s="187" t="n">
        <f aca="false">IFERROR(+X14+AA14,0)</f>
        <v>4701.6</v>
      </c>
      <c r="AC14" s="104"/>
      <c r="AD14" s="103" t="n">
        <f aca="false">+AB14+P14</f>
        <v>4701.6</v>
      </c>
      <c r="AE14" s="107" t="n">
        <f aca="false">AD14*1.21</f>
        <v>5688.936</v>
      </c>
      <c r="AF14" s="6"/>
      <c r="AG14" s="6"/>
      <c r="AH14" s="6"/>
      <c r="AI14" s="6"/>
    </row>
    <row r="15" customFormat="false" ht="24.75" hidden="false" customHeight="true" outlineLevel="0" collapsed="false">
      <c r="A15" s="6"/>
      <c r="B15" s="97" t="s">
        <v>46</v>
      </c>
      <c r="C15" s="98" t="s">
        <v>122</v>
      </c>
      <c r="D15" s="183"/>
      <c r="E15" s="184" t="n">
        <v>100</v>
      </c>
      <c r="F15" s="185" t="n">
        <v>6</v>
      </c>
      <c r="G15" s="169" t="n">
        <v>2</v>
      </c>
      <c r="H15" s="186" t="n">
        <f aca="false">IFERROR(ROUNDUP(E15/G15,0),"")</f>
        <v>50</v>
      </c>
      <c r="I15" s="171" t="s">
        <v>96</v>
      </c>
      <c r="J15" s="172" t="s">
        <v>107</v>
      </c>
      <c r="K15" s="173" t="n">
        <f aca="false">IFERROR(VLOOKUP(I15,'PREUS BASE TANQUES'!$C$5:$E$12,3,FALSE()),"")</f>
        <v>0.95</v>
      </c>
      <c r="L15" s="173" t="n">
        <f aca="false">IFERROR(K15*H15*F15,0)</f>
        <v>285</v>
      </c>
      <c r="M15" s="175" t="n">
        <v>100</v>
      </c>
      <c r="N15" s="175" t="n">
        <f aca="false">IFERROR(ROUNDUP(H15/M15,0),"")*2</f>
        <v>2</v>
      </c>
      <c r="O15" s="174" t="n">
        <f aca="false">IFERROR(VLOOKUP(J15,'PREUS BASE TANQUES'!$D$21:$E$23,2,FALSE())*N15,0)</f>
        <v>124.2</v>
      </c>
      <c r="P15" s="187" t="n">
        <f aca="false">IFERROR(+L15+O15,0)</f>
        <v>409.2</v>
      </c>
      <c r="Q15" s="184"/>
      <c r="R15" s="188"/>
      <c r="S15" s="169" t="str">
        <f aca="false">IFERROR(VLOOKUP('ANNEX ACTIVITAT TANQUES'!U15,'PREUS BASE TANQUES'!$D$15:$I$18,8,FALSE()),"")</f>
        <v/>
      </c>
      <c r="T15" s="189" t="str">
        <f aca="false">IFERROR(ROUNDUP(Q15/S15,0),"")</f>
        <v/>
      </c>
      <c r="U15" s="105"/>
      <c r="V15" s="190"/>
      <c r="W15" s="173" t="str">
        <f aca="false">IFERROR(VLOOKUP(U15,'PREUS BASE TANQUES'!$C$15:$E$18,3,FALSE()),"")</f>
        <v/>
      </c>
      <c r="X15" s="173" t="n">
        <f aca="false">IFERROR(W15*Q15,0)</f>
        <v>0</v>
      </c>
      <c r="Y15" s="175" t="str">
        <f aca="false">IFERROR(VLOOKUP(U15,'PREUS BASE TANQUES'!$D$15:$I$18,7,FALSE()),"")</f>
        <v/>
      </c>
      <c r="Z15" s="175"/>
      <c r="AA15" s="174" t="n">
        <f aca="false">IFERROR(VLOOKUP(V15,'PREUS BASE TANQUES'!$D$21:$E$23,2,FALSE())*Z15,0)</f>
        <v>0</v>
      </c>
      <c r="AB15" s="187" t="n">
        <f aca="false">IFERROR(+X15+AA15,0)</f>
        <v>0</v>
      </c>
      <c r="AC15" s="104"/>
      <c r="AD15" s="103" t="n">
        <f aca="false">+AB15+P15</f>
        <v>409.2</v>
      </c>
      <c r="AE15" s="107" t="n">
        <f aca="false">AD15*1.21</f>
        <v>495.132</v>
      </c>
      <c r="AF15" s="6"/>
      <c r="AG15" s="6"/>
      <c r="AH15" s="6"/>
      <c r="AI15" s="6"/>
    </row>
    <row r="16" customFormat="false" ht="24.75" hidden="false" customHeight="true" outlineLevel="0" collapsed="false">
      <c r="A16" s="6"/>
      <c r="B16" s="113" t="s">
        <v>46</v>
      </c>
      <c r="C16" s="114" t="s">
        <v>123</v>
      </c>
      <c r="D16" s="191"/>
      <c r="E16" s="192" t="n">
        <v>300</v>
      </c>
      <c r="F16" s="193" t="n">
        <v>3</v>
      </c>
      <c r="G16" s="169" t="n">
        <v>2</v>
      </c>
      <c r="H16" s="194" t="n">
        <f aca="false">IFERROR(ROUNDUP(E16/G16,0),"")</f>
        <v>150</v>
      </c>
      <c r="I16" s="171" t="s">
        <v>89</v>
      </c>
      <c r="J16" s="172" t="s">
        <v>107</v>
      </c>
      <c r="K16" s="173" t="n">
        <f aca="false">IFERROR(VLOOKUP(I16,'PREUS BASE TANQUES'!$C$5:$E$12,3,FALSE()),"")</f>
        <v>0.95</v>
      </c>
      <c r="L16" s="195" t="n">
        <f aca="false">IFERROR(K16*H16*F16,0)</f>
        <v>427.5</v>
      </c>
      <c r="M16" s="175" t="n">
        <v>100</v>
      </c>
      <c r="N16" s="196" t="n">
        <f aca="false">IFERROR(ROUNDUP(H16/M16,0),"")*2</f>
        <v>4</v>
      </c>
      <c r="O16" s="174" t="n">
        <f aca="false">IFERROR(VLOOKUP(J16,'PREUS BASE TANQUES'!$D$21:$E$23,2,FALSE())*N16,0)</f>
        <v>248.4</v>
      </c>
      <c r="P16" s="197" t="n">
        <f aca="false">IFERROR(+L16+O16,0)</f>
        <v>675.9</v>
      </c>
      <c r="Q16" s="192"/>
      <c r="R16" s="198"/>
      <c r="S16" s="169" t="str">
        <f aca="false">IFERROR(VLOOKUP('ANNEX ACTIVITAT TANQUES'!U16,'PREUS BASE TANQUES'!$D$15:$I$18,8,FALSE()),"")</f>
        <v/>
      </c>
      <c r="T16" s="189" t="str">
        <f aca="false">IFERROR(ROUNDUP(Q16/S16,0),"")</f>
        <v/>
      </c>
      <c r="U16" s="105"/>
      <c r="V16" s="199"/>
      <c r="W16" s="173" t="str">
        <f aca="false">IFERROR(VLOOKUP(U16,'PREUS BASE TANQUES'!$C$15:$E$18,3,FALSE()),"")</f>
        <v/>
      </c>
      <c r="X16" s="195" t="n">
        <f aca="false">IFERROR(W16*Q16,0)</f>
        <v>0</v>
      </c>
      <c r="Y16" s="175" t="str">
        <f aca="false">IFERROR(VLOOKUP(U16,'PREUS BASE TANQUES'!$D$15:$I$18,7,FALSE()),"")</f>
        <v/>
      </c>
      <c r="Z16" s="175"/>
      <c r="AA16" s="174" t="n">
        <f aca="false">IFERROR(VLOOKUP(V16,'PREUS BASE TANQUES'!$D$21:$E$23,2,FALSE())*Z16,0)</f>
        <v>0</v>
      </c>
      <c r="AB16" s="197" t="n">
        <f aca="false">IFERROR(+X16+AA16,0)</f>
        <v>0</v>
      </c>
      <c r="AC16" s="104"/>
      <c r="AD16" s="200" t="n">
        <f aca="false">+AB16+P16</f>
        <v>675.9</v>
      </c>
      <c r="AE16" s="107" t="n">
        <f aca="false">AD16*1.21</f>
        <v>817.839</v>
      </c>
      <c r="AF16" s="6"/>
      <c r="AG16" s="6"/>
      <c r="AH16" s="6"/>
      <c r="AI16" s="6"/>
    </row>
    <row r="17" customFormat="false" ht="24.75" hidden="false" customHeight="true" outlineLevel="0" collapsed="false">
      <c r="A17" s="6"/>
      <c r="B17" s="113" t="s">
        <v>46</v>
      </c>
      <c r="C17" s="114" t="s">
        <v>124</v>
      </c>
      <c r="D17" s="191"/>
      <c r="E17" s="192" t="n">
        <v>1.8</v>
      </c>
      <c r="F17" s="193" t="n">
        <v>1</v>
      </c>
      <c r="G17" s="169" t="n">
        <v>1.8</v>
      </c>
      <c r="H17" s="194" t="n">
        <f aca="false">IFERROR(ROUNDUP(E17/G17,0),"")</f>
        <v>1</v>
      </c>
      <c r="I17" s="171" t="s">
        <v>98</v>
      </c>
      <c r="J17" s="172"/>
      <c r="K17" s="173" t="n">
        <f aca="false">IFERROR(VLOOKUP(I17,'PREUS BASE TANQUES'!$C$5:$E$12,3,FALSE()),"")</f>
        <v>1.06</v>
      </c>
      <c r="L17" s="195" t="n">
        <f aca="false">IFERROR(K17*H17*F17,0)</f>
        <v>1.06</v>
      </c>
      <c r="M17" s="175"/>
      <c r="N17" s="196"/>
      <c r="O17" s="174"/>
      <c r="P17" s="197" t="n">
        <f aca="false">IFERROR(+L17+O17,0)</f>
        <v>1.06</v>
      </c>
      <c r="Q17" s="192" t="n">
        <v>1</v>
      </c>
      <c r="R17" s="198" t="n">
        <v>1</v>
      </c>
      <c r="S17" s="169" t="n">
        <v>1.8</v>
      </c>
      <c r="T17" s="189" t="n">
        <f aca="false">IFERROR(ROUNDUP(Q17/S17,0),"")</f>
        <v>1</v>
      </c>
      <c r="U17" s="105" t="s">
        <v>103</v>
      </c>
      <c r="V17" s="199"/>
      <c r="W17" s="173" t="n">
        <f aca="false">IFERROR(VLOOKUP(U17,'PREUS BASE TANQUES'!$C$15:$E$18,3,FALSE()),"")</f>
        <v>5.55</v>
      </c>
      <c r="X17" s="195" t="n">
        <f aca="false">IFERROR(W17*Q17,0)</f>
        <v>5.55</v>
      </c>
      <c r="Y17" s="175"/>
      <c r="Z17" s="175"/>
      <c r="AA17" s="174" t="n">
        <f aca="false">IFERROR(VLOOKUP(V17,'PREUS BASE TANQUES'!$D$21:$E$23,2,FALSE())*Z17,0)</f>
        <v>0</v>
      </c>
      <c r="AB17" s="197" t="n">
        <f aca="false">IFERROR(+X17+AA17,0)</f>
        <v>5.55</v>
      </c>
      <c r="AC17" s="104"/>
      <c r="AD17" s="200" t="n">
        <f aca="false">+AB17+P17</f>
        <v>6.61</v>
      </c>
      <c r="AE17" s="107" t="n">
        <f aca="false">AD17*1.21</f>
        <v>7.9981</v>
      </c>
      <c r="AF17" s="6"/>
      <c r="AG17" s="6"/>
      <c r="AH17" s="6"/>
      <c r="AI17" s="6"/>
    </row>
    <row r="18" customFormat="false" ht="24.75" hidden="false" customHeight="true" outlineLevel="0" collapsed="false">
      <c r="A18" s="6"/>
      <c r="B18" s="201" t="s">
        <v>125</v>
      </c>
      <c r="C18" s="98" t="s">
        <v>126</v>
      </c>
      <c r="D18" s="105"/>
      <c r="E18" s="202"/>
      <c r="F18" s="203"/>
      <c r="G18" s="204" t="str">
        <f aca="false">IFERROR(VLOOKUP(I18,'PREUS BASE TANQUES'!$D$5:$I$12,8,FALSE()),"")</f>
        <v/>
      </c>
      <c r="H18" s="205" t="str">
        <f aca="false">IFERROR(ROUNDUP(E18/G18,0),"")</f>
        <v/>
      </c>
      <c r="I18" s="171"/>
      <c r="J18" s="172"/>
      <c r="K18" s="173" t="str">
        <f aca="false">IFERROR(VLOOKUP(I18,'PREUS BASE TANQUES'!$C$5:$E$12,3,FALSE()),"")</f>
        <v/>
      </c>
      <c r="L18" s="206"/>
      <c r="M18" s="175" t="str">
        <f aca="false">IFERROR(VLOOKUP(I18,'PREUS BASE TANQUES'!$D$5:$I$12,7,FALSE()),"")</f>
        <v/>
      </c>
      <c r="N18" s="207" t="str">
        <f aca="false">IFERROR(ROUNDUP(H18/M18,0),"")</f>
        <v/>
      </c>
      <c r="O18" s="174"/>
      <c r="P18" s="206" t="n">
        <f aca="false">IFERROR(+L18+O18,0)</f>
        <v>0</v>
      </c>
      <c r="Q18" s="208" t="n">
        <v>700</v>
      </c>
      <c r="R18" s="208" t="n">
        <v>20</v>
      </c>
      <c r="S18" s="169" t="n">
        <v>3</v>
      </c>
      <c r="T18" s="209" t="n">
        <f aca="false">IFERROR(ROUNDUP(Q18/S18,0),"")</f>
        <v>234</v>
      </c>
      <c r="U18" s="105" t="s">
        <v>100</v>
      </c>
      <c r="V18" s="190" t="s">
        <v>107</v>
      </c>
      <c r="W18" s="173" t="n">
        <f aca="false">IFERROR(VLOOKUP(U18,'PREUS BASE TANQUES'!$C$15:$E$18,3,FALSE()),"")</f>
        <v>5.55</v>
      </c>
      <c r="X18" s="206" t="n">
        <f aca="false">IFERROR(W18*Q18,0)</f>
        <v>3885</v>
      </c>
      <c r="Y18" s="175" t="n">
        <v>100</v>
      </c>
      <c r="Z18" s="175" t="n">
        <f aca="false">IFERROR(ROUNDUP(T18/Y18,0),"")*2</f>
        <v>6</v>
      </c>
      <c r="AA18" s="174" t="n">
        <f aca="false">IFERROR(VLOOKUP(V18,'PREUS BASE TANQUES'!$D$21:$E$23,2,FALSE())*Z18,0)</f>
        <v>372.6</v>
      </c>
      <c r="AB18" s="206" t="n">
        <f aca="false">IFERROR(+X18+AA18,0)</f>
        <v>4257.6</v>
      </c>
      <c r="AC18" s="210"/>
      <c r="AD18" s="206" t="n">
        <f aca="false">+AB18+P18</f>
        <v>4257.6</v>
      </c>
      <c r="AE18" s="107" t="n">
        <f aca="false">AD18*1.21</f>
        <v>5151.696</v>
      </c>
      <c r="AF18" s="6"/>
      <c r="AG18" s="6"/>
      <c r="AH18" s="6"/>
      <c r="AI18" s="6"/>
    </row>
    <row r="19" customFormat="false" ht="24.75" hidden="false" customHeight="true" outlineLevel="0" collapsed="false">
      <c r="A19" s="6"/>
      <c r="B19" s="164" t="s">
        <v>63</v>
      </c>
      <c r="C19" s="165" t="s">
        <v>127</v>
      </c>
      <c r="D19" s="166"/>
      <c r="E19" s="167" t="n">
        <v>300</v>
      </c>
      <c r="F19" s="168" t="n">
        <v>2</v>
      </c>
      <c r="G19" s="169" t="n">
        <v>2</v>
      </c>
      <c r="H19" s="170" t="n">
        <f aca="false">IFERROR(ROUNDUP(E19/G19,0),"")</f>
        <v>150</v>
      </c>
      <c r="I19" s="171" t="s">
        <v>89</v>
      </c>
      <c r="J19" s="172" t="s">
        <v>107</v>
      </c>
      <c r="K19" s="173" t="n">
        <f aca="false">IFERROR(VLOOKUP(I19,'PREUS BASE TANQUES'!$C$5:$E$12,3,FALSE()),"")</f>
        <v>0.95</v>
      </c>
      <c r="L19" s="174" t="n">
        <f aca="false">IFERROR(K19*H19*F19,0)</f>
        <v>285</v>
      </c>
      <c r="M19" s="175" t="n">
        <v>100</v>
      </c>
      <c r="N19" s="180" t="n">
        <f aca="false">IFERROR(ROUNDUP(H19/M19,0),"")*2</f>
        <v>4</v>
      </c>
      <c r="O19" s="174" t="n">
        <f aca="false">IFERROR(VLOOKUP(J19,'PREUS BASE TANQUES'!$D$21:$E$23,2,FALSE())*N19,0)</f>
        <v>248.4</v>
      </c>
      <c r="P19" s="176" t="n">
        <f aca="false">IFERROR(+L19+O19,0)</f>
        <v>533.4</v>
      </c>
      <c r="Q19" s="167"/>
      <c r="R19" s="177"/>
      <c r="S19" s="169" t="str">
        <f aca="false">IFERROR(VLOOKUP('ANNEX ACTIVITAT TANQUES'!U19,'PREUS BASE TANQUES'!$D$15:$I$18,8,FALSE()),"")</f>
        <v/>
      </c>
      <c r="T19" s="178" t="str">
        <f aca="false">IFERROR(ROUNDUP(Q19/S19,0),"")</f>
        <v/>
      </c>
      <c r="U19" s="105"/>
      <c r="V19" s="179"/>
      <c r="W19" s="173" t="str">
        <f aca="false">IFERROR(VLOOKUP(U19,'PREUS BASE TANQUES'!$C$15:$E$18,3,FALSE()),"")</f>
        <v/>
      </c>
      <c r="X19" s="174" t="n">
        <f aca="false">IFERROR(W19*Q19,0)</f>
        <v>0</v>
      </c>
      <c r="Y19" s="175" t="str">
        <f aca="false">IFERROR(VLOOKUP(U19,'PREUS BASE TANQUES'!$D$15:$I$18,7,FALSE()),"")</f>
        <v/>
      </c>
      <c r="Z19" s="175"/>
      <c r="AA19" s="174" t="n">
        <f aca="false">IFERROR(VLOOKUP(V19,'PREUS BASE TANQUES'!$D$21:$E$23,2,FALSE())*Z19,0)</f>
        <v>0</v>
      </c>
      <c r="AB19" s="176" t="n">
        <f aca="false">IFERROR(+X19+AA19,0)</f>
        <v>0</v>
      </c>
      <c r="AC19" s="104"/>
      <c r="AD19" s="181" t="n">
        <f aca="false">+AB19+P19</f>
        <v>533.4</v>
      </c>
      <c r="AE19" s="107" t="n">
        <f aca="false">AD19*1.21</f>
        <v>645.414</v>
      </c>
      <c r="AF19" s="6"/>
      <c r="AG19" s="6"/>
      <c r="AH19" s="6"/>
      <c r="AI19" s="6"/>
    </row>
    <row r="20" customFormat="false" ht="24.75" hidden="false" customHeight="true" outlineLevel="0" collapsed="false">
      <c r="A20" s="6"/>
      <c r="B20" s="97" t="s">
        <v>63</v>
      </c>
      <c r="C20" s="98" t="s">
        <v>128</v>
      </c>
      <c r="D20" s="183"/>
      <c r="E20" s="184" t="n">
        <v>150</v>
      </c>
      <c r="F20" s="185" t="n">
        <v>2</v>
      </c>
      <c r="G20" s="169" t="n">
        <v>2</v>
      </c>
      <c r="H20" s="186" t="n">
        <f aca="false">IFERROR(ROUNDUP(E20/G20,0),"")</f>
        <v>75</v>
      </c>
      <c r="I20" s="171" t="s">
        <v>89</v>
      </c>
      <c r="J20" s="172" t="s">
        <v>107</v>
      </c>
      <c r="K20" s="173" t="n">
        <f aca="false">IFERROR(VLOOKUP(I20,'PREUS BASE TANQUES'!$C$5:$E$12,3,FALSE()),"")</f>
        <v>0.95</v>
      </c>
      <c r="L20" s="173" t="n">
        <f aca="false">IFERROR(K20*H20*F20,0)</f>
        <v>142.5</v>
      </c>
      <c r="M20" s="175" t="n">
        <v>100</v>
      </c>
      <c r="N20" s="180" t="n">
        <f aca="false">IFERROR(ROUNDUP(H20/M20,0),"")*2</f>
        <v>2</v>
      </c>
      <c r="O20" s="174" t="n">
        <f aca="false">IFERROR(VLOOKUP(J20,'PREUS BASE TANQUES'!$D$21:$E$23,2,FALSE())*N20,0)</f>
        <v>124.2</v>
      </c>
      <c r="P20" s="187" t="n">
        <f aca="false">IFERROR(+L20+O20,0)</f>
        <v>266.7</v>
      </c>
      <c r="Q20" s="184"/>
      <c r="R20" s="188"/>
      <c r="S20" s="169" t="str">
        <f aca="false">IFERROR(VLOOKUP('ANNEX ACTIVITAT TANQUES'!U20,'PREUS BASE TANQUES'!$D$15:$I$18,8,FALSE()),"")</f>
        <v/>
      </c>
      <c r="T20" s="189" t="str">
        <f aca="false">IFERROR(ROUNDUP(Q20/S20,0),"")</f>
        <v/>
      </c>
      <c r="U20" s="105"/>
      <c r="V20" s="190"/>
      <c r="W20" s="173" t="str">
        <f aca="false">IFERROR(VLOOKUP(U20,'PREUS BASE TANQUES'!$C$15:$E$18,3,FALSE()),"")</f>
        <v/>
      </c>
      <c r="X20" s="173" t="n">
        <f aca="false">IFERROR(W20*Q20,0)</f>
        <v>0</v>
      </c>
      <c r="Y20" s="175" t="str">
        <f aca="false">IFERROR(VLOOKUP(U20,'PREUS BASE TANQUES'!$D$15:$I$18,7,FALSE()),"")</f>
        <v/>
      </c>
      <c r="Z20" s="175"/>
      <c r="AA20" s="174" t="n">
        <f aca="false">IFERROR(VLOOKUP(V20,'PREUS BASE TANQUES'!$D$21:$E$23,2,FALSE())*Z20,0)</f>
        <v>0</v>
      </c>
      <c r="AB20" s="187" t="n">
        <f aca="false">IFERROR(+X20+AA20,0)</f>
        <v>0</v>
      </c>
      <c r="AC20" s="104"/>
      <c r="AD20" s="103" t="n">
        <f aca="false">+AB20+P20</f>
        <v>266.7</v>
      </c>
      <c r="AE20" s="107" t="n">
        <f aca="false">AD20*1.21</f>
        <v>322.707</v>
      </c>
      <c r="AF20" s="6"/>
      <c r="AG20" s="6"/>
      <c r="AH20" s="6"/>
      <c r="AI20" s="6"/>
    </row>
    <row r="21" customFormat="false" ht="24.75" hidden="false" customHeight="true" outlineLevel="0" collapsed="false">
      <c r="A21" s="6"/>
      <c r="B21" s="97" t="s">
        <v>63</v>
      </c>
      <c r="C21" s="98" t="s">
        <v>129</v>
      </c>
      <c r="D21" s="183"/>
      <c r="E21" s="184" t="n">
        <v>100</v>
      </c>
      <c r="F21" s="185" t="n">
        <v>1</v>
      </c>
      <c r="G21" s="169" t="n">
        <v>2</v>
      </c>
      <c r="H21" s="186" t="n">
        <f aca="false">IFERROR(ROUNDUP(E21/G21,0),"")</f>
        <v>50</v>
      </c>
      <c r="I21" s="171" t="s">
        <v>89</v>
      </c>
      <c r="J21" s="172" t="s">
        <v>107</v>
      </c>
      <c r="K21" s="173" t="n">
        <f aca="false">IFERROR(VLOOKUP(I21,'PREUS BASE TANQUES'!$C$5:$E$12,3,FALSE()),"")</f>
        <v>0.95</v>
      </c>
      <c r="L21" s="173" t="n">
        <f aca="false">IFERROR(K21*H21*F21,0)</f>
        <v>47.5</v>
      </c>
      <c r="M21" s="175" t="n">
        <v>100</v>
      </c>
      <c r="N21" s="180" t="n">
        <f aca="false">IFERROR(ROUNDUP(H21/M21,0),"")*2</f>
        <v>2</v>
      </c>
      <c r="O21" s="174" t="n">
        <f aca="false">IFERROR(VLOOKUP(J21,'PREUS BASE TANQUES'!$D$21:$E$23,2,FALSE())*N21,0)</f>
        <v>124.2</v>
      </c>
      <c r="P21" s="187" t="n">
        <f aca="false">IFERROR(+L21+O21,0)</f>
        <v>171.7</v>
      </c>
      <c r="Q21" s="184"/>
      <c r="R21" s="188"/>
      <c r="S21" s="169" t="str">
        <f aca="false">IFERROR(VLOOKUP('ANNEX ACTIVITAT TANQUES'!U21,'PREUS BASE TANQUES'!$D$15:$I$18,8,FALSE()),"")</f>
        <v/>
      </c>
      <c r="T21" s="189" t="str">
        <f aca="false">IFERROR(ROUNDUP(Q21/S21,0),"")</f>
        <v/>
      </c>
      <c r="U21" s="105"/>
      <c r="V21" s="190"/>
      <c r="W21" s="173" t="str">
        <f aca="false">IFERROR(VLOOKUP(U21,'PREUS BASE TANQUES'!$C$15:$E$18,3,FALSE()),"")</f>
        <v/>
      </c>
      <c r="X21" s="173" t="n">
        <f aca="false">IFERROR(W21*Q21,0)</f>
        <v>0</v>
      </c>
      <c r="Y21" s="175" t="str">
        <f aca="false">IFERROR(VLOOKUP(U21,'PREUS BASE TANQUES'!$D$15:$I$18,7,FALSE()),"")</f>
        <v/>
      </c>
      <c r="Z21" s="175"/>
      <c r="AA21" s="174" t="n">
        <f aca="false">IFERROR(VLOOKUP(V21,'PREUS BASE TANQUES'!$D$21:$E$23,2,FALSE())*Z21,0)</f>
        <v>0</v>
      </c>
      <c r="AB21" s="187" t="n">
        <f aca="false">IFERROR(+X21+AA21,0)</f>
        <v>0</v>
      </c>
      <c r="AC21" s="104"/>
      <c r="AD21" s="103" t="n">
        <f aca="false">+AB21+P21</f>
        <v>171.7</v>
      </c>
      <c r="AE21" s="107" t="n">
        <f aca="false">AD21*1.21</f>
        <v>207.757</v>
      </c>
      <c r="AF21" s="6"/>
      <c r="AG21" s="6"/>
      <c r="AH21" s="6"/>
      <c r="AI21" s="6"/>
    </row>
    <row r="22" customFormat="false" ht="24.75" hidden="false" customHeight="true" outlineLevel="0" collapsed="false">
      <c r="A22" s="6"/>
      <c r="B22" s="97" t="s">
        <v>63</v>
      </c>
      <c r="C22" s="98" t="s">
        <v>130</v>
      </c>
      <c r="D22" s="183"/>
      <c r="E22" s="184" t="n">
        <v>150</v>
      </c>
      <c r="F22" s="185" t="n">
        <v>1</v>
      </c>
      <c r="G22" s="169" t="n">
        <v>2</v>
      </c>
      <c r="H22" s="186" t="n">
        <f aca="false">IFERROR(ROUNDUP(E22/G22,0),"")</f>
        <v>75</v>
      </c>
      <c r="I22" s="171" t="s">
        <v>89</v>
      </c>
      <c r="J22" s="172" t="s">
        <v>107</v>
      </c>
      <c r="K22" s="173" t="n">
        <f aca="false">IFERROR(VLOOKUP(I22,'PREUS BASE TANQUES'!$C$5:$E$12,3,FALSE()),"")</f>
        <v>0.95</v>
      </c>
      <c r="L22" s="173" t="n">
        <f aca="false">IFERROR(K22*H22*F22,0)</f>
        <v>71.25</v>
      </c>
      <c r="M22" s="175" t="n">
        <v>100</v>
      </c>
      <c r="N22" s="180" t="n">
        <f aca="false">IFERROR(ROUNDUP(H22/M22,0),"")*2</f>
        <v>2</v>
      </c>
      <c r="O22" s="174" t="n">
        <f aca="false">IFERROR(VLOOKUP(J22,'PREUS BASE TANQUES'!$D$21:$E$23,2,FALSE())*N22,0)</f>
        <v>124.2</v>
      </c>
      <c r="P22" s="187" t="n">
        <f aca="false">IFERROR(+L22+O22,0)</f>
        <v>195.45</v>
      </c>
      <c r="Q22" s="184"/>
      <c r="R22" s="188"/>
      <c r="S22" s="169" t="str">
        <f aca="false">IFERROR(VLOOKUP('ANNEX ACTIVITAT TANQUES'!U22,'PREUS BASE TANQUES'!$D$15:$I$18,8,FALSE()),"")</f>
        <v/>
      </c>
      <c r="T22" s="189" t="str">
        <f aca="false">IFERROR(ROUNDUP(Q22/S22,0),"")</f>
        <v/>
      </c>
      <c r="U22" s="105"/>
      <c r="V22" s="190"/>
      <c r="W22" s="173" t="str">
        <f aca="false">IFERROR(VLOOKUP(U22,'PREUS BASE TANQUES'!$C$15:$E$18,3,FALSE()),"")</f>
        <v/>
      </c>
      <c r="X22" s="173" t="n">
        <f aca="false">IFERROR(W22*Q22,0)</f>
        <v>0</v>
      </c>
      <c r="Y22" s="175" t="str">
        <f aca="false">IFERROR(VLOOKUP(U22,'PREUS BASE TANQUES'!$D$15:$I$18,7,FALSE()),"")</f>
        <v/>
      </c>
      <c r="Z22" s="175"/>
      <c r="AA22" s="174" t="n">
        <f aca="false">IFERROR(VLOOKUP(V22,'PREUS BASE TANQUES'!$D$21:$E$23,2,FALSE())*Z22,0)</f>
        <v>0</v>
      </c>
      <c r="AB22" s="187" t="n">
        <f aca="false">IFERROR(+X22+AA22,0)</f>
        <v>0</v>
      </c>
      <c r="AC22" s="104"/>
      <c r="AD22" s="103" t="n">
        <f aca="false">+AB22+P22</f>
        <v>195.45</v>
      </c>
      <c r="AE22" s="107" t="n">
        <f aca="false">AD22*1.21</f>
        <v>236.4945</v>
      </c>
      <c r="AF22" s="6"/>
      <c r="AG22" s="6"/>
      <c r="AH22" s="6"/>
      <c r="AI22" s="6"/>
    </row>
    <row r="23" customFormat="false" ht="24.75" hidden="false" customHeight="true" outlineLevel="0" collapsed="false">
      <c r="A23" s="6"/>
      <c r="B23" s="97" t="s">
        <v>63</v>
      </c>
      <c r="C23" s="98" t="s">
        <v>131</v>
      </c>
      <c r="D23" s="183"/>
      <c r="E23" s="184" t="n">
        <v>300</v>
      </c>
      <c r="F23" s="185" t="n">
        <v>2</v>
      </c>
      <c r="G23" s="169" t="n">
        <v>2</v>
      </c>
      <c r="H23" s="186" t="n">
        <f aca="false">IFERROR(ROUNDUP(E23/G23,0),"")</f>
        <v>150</v>
      </c>
      <c r="I23" s="171" t="s">
        <v>89</v>
      </c>
      <c r="J23" s="172" t="s">
        <v>107</v>
      </c>
      <c r="K23" s="173" t="n">
        <f aca="false">IFERROR(VLOOKUP(I23,'PREUS BASE TANQUES'!$C$5:$E$12,3,FALSE()),"")</f>
        <v>0.95</v>
      </c>
      <c r="L23" s="173" t="n">
        <f aca="false">IFERROR(K23*H23*F23,0)</f>
        <v>285</v>
      </c>
      <c r="M23" s="175" t="n">
        <v>100</v>
      </c>
      <c r="N23" s="180" t="n">
        <f aca="false">IFERROR(ROUNDUP(H23/M23,0),"")*2</f>
        <v>4</v>
      </c>
      <c r="O23" s="174" t="n">
        <f aca="false">IFERROR(VLOOKUP(J23,'PREUS BASE TANQUES'!$D$21:$E$23,2,FALSE())*N23,0)</f>
        <v>248.4</v>
      </c>
      <c r="P23" s="187" t="n">
        <f aca="false">IFERROR(+L23+O23,0)</f>
        <v>533.4</v>
      </c>
      <c r="Q23" s="184"/>
      <c r="R23" s="188"/>
      <c r="S23" s="169" t="str">
        <f aca="false">IFERROR(VLOOKUP('ANNEX ACTIVITAT TANQUES'!U23,'PREUS BASE TANQUES'!$D$15:$I$18,8,FALSE()),"")</f>
        <v/>
      </c>
      <c r="T23" s="189" t="str">
        <f aca="false">IFERROR(ROUNDUP(Q23/S23,0),"")</f>
        <v/>
      </c>
      <c r="U23" s="105"/>
      <c r="V23" s="190"/>
      <c r="W23" s="173" t="str">
        <f aca="false">IFERROR(VLOOKUP(U23,'PREUS BASE TANQUES'!$C$15:$E$18,3,FALSE()),"")</f>
        <v/>
      </c>
      <c r="X23" s="173" t="n">
        <f aca="false">IFERROR(W23*Q23,0)</f>
        <v>0</v>
      </c>
      <c r="Y23" s="175" t="str">
        <f aca="false">IFERROR(VLOOKUP(U23,'PREUS BASE TANQUES'!$D$15:$I$18,7,FALSE()),"")</f>
        <v/>
      </c>
      <c r="Z23" s="175"/>
      <c r="AA23" s="174" t="n">
        <f aca="false">IFERROR(VLOOKUP(V23,'PREUS BASE TANQUES'!$D$21:$E$23,2,FALSE())*Z23,0)</f>
        <v>0</v>
      </c>
      <c r="AB23" s="187" t="n">
        <f aca="false">IFERROR(+X23+AA23,0)</f>
        <v>0</v>
      </c>
      <c r="AC23" s="104"/>
      <c r="AD23" s="103" t="n">
        <f aca="false">+AB23+P23</f>
        <v>533.4</v>
      </c>
      <c r="AE23" s="107" t="n">
        <f aca="false">AD23*1.21</f>
        <v>645.414</v>
      </c>
      <c r="AF23" s="6"/>
      <c r="AG23" s="6"/>
      <c r="AH23" s="6"/>
      <c r="AI23" s="6"/>
    </row>
    <row r="24" customFormat="false" ht="24.75" hidden="false" customHeight="true" outlineLevel="0" collapsed="false">
      <c r="A24" s="6"/>
      <c r="B24" s="97" t="s">
        <v>63</v>
      </c>
      <c r="C24" s="98" t="s">
        <v>131</v>
      </c>
      <c r="D24" s="183"/>
      <c r="E24" s="184" t="n">
        <v>300</v>
      </c>
      <c r="F24" s="185" t="n">
        <v>2</v>
      </c>
      <c r="G24" s="169" t="n">
        <v>2</v>
      </c>
      <c r="H24" s="186" t="n">
        <f aca="false">IFERROR(ROUNDUP(E24/G24,0),"")</f>
        <v>150</v>
      </c>
      <c r="I24" s="171" t="s">
        <v>89</v>
      </c>
      <c r="J24" s="172" t="s">
        <v>107</v>
      </c>
      <c r="K24" s="173" t="n">
        <f aca="false">IFERROR(VLOOKUP(I24,'PREUS BASE TANQUES'!$C$5:$E$12,3,FALSE()),"")</f>
        <v>0.95</v>
      </c>
      <c r="L24" s="173" t="n">
        <f aca="false">IFERROR(K24*H24*F24,0)</f>
        <v>285</v>
      </c>
      <c r="M24" s="175" t="n">
        <v>100</v>
      </c>
      <c r="N24" s="180" t="n">
        <f aca="false">IFERROR(ROUNDUP(H24/M24,0),"")*2</f>
        <v>4</v>
      </c>
      <c r="O24" s="174" t="n">
        <f aca="false">IFERROR(VLOOKUP(J24,'PREUS BASE TANQUES'!$D$21:$E$23,2,FALSE())*N24,0)</f>
        <v>248.4</v>
      </c>
      <c r="P24" s="187" t="n">
        <f aca="false">IFERROR(+L24+O24,0)</f>
        <v>533.4</v>
      </c>
      <c r="Q24" s="184"/>
      <c r="R24" s="188"/>
      <c r="S24" s="169" t="str">
        <f aca="false">IFERROR(VLOOKUP('ANNEX ACTIVITAT TANQUES'!U24,'PREUS BASE TANQUES'!$D$15:$I$18,8,FALSE()),"")</f>
        <v/>
      </c>
      <c r="T24" s="189" t="str">
        <f aca="false">IFERROR(ROUNDUP(Q24/S24,0),"")</f>
        <v/>
      </c>
      <c r="U24" s="105"/>
      <c r="V24" s="190"/>
      <c r="W24" s="173" t="str">
        <f aca="false">IFERROR(VLOOKUP(U24,'PREUS BASE TANQUES'!$C$15:$E$18,3,FALSE()),"")</f>
        <v/>
      </c>
      <c r="X24" s="173" t="n">
        <f aca="false">IFERROR(W24*Q24,0)</f>
        <v>0</v>
      </c>
      <c r="Y24" s="175" t="str">
        <f aca="false">IFERROR(VLOOKUP(U24,'PREUS BASE TANQUES'!$D$15:$I$18,7,FALSE()),"")</f>
        <v/>
      </c>
      <c r="Z24" s="175"/>
      <c r="AA24" s="174" t="n">
        <f aca="false">IFERROR(VLOOKUP(V24,'PREUS BASE TANQUES'!$D$21:$E$23,2,FALSE())*Z24,0)</f>
        <v>0</v>
      </c>
      <c r="AB24" s="187" t="n">
        <f aca="false">IFERROR(+X24+AA24,0)</f>
        <v>0</v>
      </c>
      <c r="AC24" s="104"/>
      <c r="AD24" s="103" t="n">
        <f aca="false">+AB24+P24</f>
        <v>533.4</v>
      </c>
      <c r="AE24" s="107" t="n">
        <f aca="false">AD24*1.21</f>
        <v>645.414</v>
      </c>
      <c r="AF24" s="6"/>
      <c r="AG24" s="6"/>
      <c r="AH24" s="6"/>
      <c r="AI24" s="6"/>
    </row>
    <row r="25" customFormat="false" ht="24.75" hidden="false" customHeight="true" outlineLevel="0" collapsed="false">
      <c r="A25" s="6"/>
      <c r="B25" s="113" t="s">
        <v>63</v>
      </c>
      <c r="C25" s="114" t="s">
        <v>131</v>
      </c>
      <c r="D25" s="191"/>
      <c r="E25" s="192"/>
      <c r="F25" s="193"/>
      <c r="G25" s="211" t="str">
        <f aca="false">IFERROR(VLOOKUP(I25,'[2]PREUS BASE'!$D$5:$K$8,8,FALSE()),"")</f>
        <v/>
      </c>
      <c r="H25" s="194" t="str">
        <f aca="false">IFERROR(ROUNDUP(E25/G25,0),"")</f>
        <v/>
      </c>
      <c r="I25" s="212"/>
      <c r="J25" s="172"/>
      <c r="K25" s="173" t="str">
        <f aca="false">IFERROR(VLOOKUP(I25,'PREUS BASE TANQUES'!$C$5:$H$12,5,FALSE()),"")</f>
        <v/>
      </c>
      <c r="L25" s="195" t="n">
        <f aca="false">IFERROR(K25*H25*F25,0)</f>
        <v>0</v>
      </c>
      <c r="M25" s="175" t="str">
        <f aca="false">IFERROR(VLOOKUP(I25,'PREUS BASE TANQUES'!$D$5:$I$12,7,FALSE()),"")</f>
        <v/>
      </c>
      <c r="N25" s="196" t="str">
        <f aca="false">IFERROR(ROUNDUP(H25/M25,0),"")</f>
        <v/>
      </c>
      <c r="O25" s="174" t="n">
        <f aca="false">IFERROR(VLOOKUP(J25,'PREUS BASE TANQUES'!$D$21:$E$23,2,FALSE())*N25,0)</f>
        <v>0</v>
      </c>
      <c r="P25" s="197" t="n">
        <f aca="false">IFERROR(+L25+O25,0)</f>
        <v>0</v>
      </c>
      <c r="Q25" s="192" t="n">
        <v>150</v>
      </c>
      <c r="R25" s="198" t="n">
        <v>90</v>
      </c>
      <c r="S25" s="213" t="n">
        <v>3</v>
      </c>
      <c r="T25" s="214" t="n">
        <f aca="false">IFERROR(ROUNDUP(Q25/S25,0),"")</f>
        <v>50</v>
      </c>
      <c r="U25" s="105" t="s">
        <v>100</v>
      </c>
      <c r="V25" s="199" t="s">
        <v>107</v>
      </c>
      <c r="W25" s="173" t="n">
        <f aca="false">IFERROR(VLOOKUP(U25,'PREUS BASE TANQUES'!$C$15:$E$18,3,FALSE()),"")</f>
        <v>5.55</v>
      </c>
      <c r="X25" s="195" t="n">
        <f aca="false">IFERROR(W25*Q25,0)</f>
        <v>832.5</v>
      </c>
      <c r="Y25" s="175" t="n">
        <v>100</v>
      </c>
      <c r="Z25" s="175" t="n">
        <f aca="false">IFERROR(ROUNDUP(T25/Y25,0),"")*2</f>
        <v>2</v>
      </c>
      <c r="AA25" s="174" t="n">
        <f aca="false">IFERROR(VLOOKUP(V25,'PREUS BASE TANQUES'!$D$21:$E$23,2,FALSE())*Z25,0)</f>
        <v>124.2</v>
      </c>
      <c r="AB25" s="197" t="n">
        <f aca="false">IFERROR(+X25+AA25,0)</f>
        <v>956.7</v>
      </c>
      <c r="AC25" s="104"/>
      <c r="AD25" s="200" t="n">
        <f aca="false">+AB25+P25</f>
        <v>956.7</v>
      </c>
      <c r="AE25" s="107" t="n">
        <f aca="false">AD25*1.21</f>
        <v>1157.607</v>
      </c>
      <c r="AF25" s="6"/>
      <c r="AG25" s="6"/>
      <c r="AH25" s="6"/>
      <c r="AI25" s="6"/>
    </row>
    <row r="26" customFormat="false" ht="12.8" hidden="false" customHeight="false" outlineLevel="0" collapsed="false">
      <c r="A26" s="6"/>
      <c r="B26" s="6"/>
      <c r="C26" s="6"/>
      <c r="D26" s="9"/>
      <c r="E26" s="6"/>
      <c r="F26" s="6"/>
      <c r="G26" s="6"/>
      <c r="H26" s="6"/>
      <c r="I26" s="6"/>
      <c r="J26" s="6"/>
      <c r="K26" s="215"/>
      <c r="L26" s="115" t="n">
        <f aca="false">SUM(L5:L25)</f>
        <v>3190.56</v>
      </c>
      <c r="M26" s="115"/>
      <c r="N26" s="115" t="n">
        <f aca="false">SUM(N5:N25)</f>
        <v>38</v>
      </c>
      <c r="O26" s="115" t="n">
        <f aca="false">SUM(O5:O25)</f>
        <v>2359.8</v>
      </c>
      <c r="P26" s="115" t="n">
        <f aca="false">SUM(P5:P25)</f>
        <v>5550.36</v>
      </c>
      <c r="Q26" s="115"/>
      <c r="R26" s="115"/>
      <c r="S26" s="115"/>
      <c r="T26" s="115"/>
      <c r="U26" s="115"/>
      <c r="V26" s="115"/>
      <c r="W26" s="115"/>
      <c r="X26" s="115" t="n">
        <f aca="false">SUM(X5:X25)</f>
        <v>13306.05</v>
      </c>
      <c r="Y26" s="115"/>
      <c r="Z26" s="115" t="n">
        <f aca="false">SUM(Z5:Z25)</f>
        <v>28</v>
      </c>
      <c r="AA26" s="115" t="n">
        <f aca="false">SUM(AA5:AA25)</f>
        <v>1738.8</v>
      </c>
      <c r="AB26" s="115" t="n">
        <f aca="false">SUM(AB5:AB25)</f>
        <v>15044.85</v>
      </c>
      <c r="AC26" s="115"/>
      <c r="AD26" s="115"/>
      <c r="AE26" s="116"/>
      <c r="AF26" s="6"/>
      <c r="AG26" s="6"/>
      <c r="AH26" s="6"/>
      <c r="AI26" s="6"/>
    </row>
    <row r="27" customFormat="false" ht="12.8" hidden="false" customHeight="false" outlineLevel="0" collapsed="false">
      <c r="A27" s="6"/>
      <c r="B27" s="6"/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9" t="n">
        <f aca="false">SUM(AD5:AD26)</f>
        <v>20595.21</v>
      </c>
      <c r="AE27" s="116" t="n">
        <f aca="false">SUM(AE5:AE25)</f>
        <v>24920.2041</v>
      </c>
      <c r="AF27" s="6"/>
      <c r="AG27" s="182"/>
      <c r="AH27" s="6"/>
      <c r="AI27" s="6"/>
    </row>
    <row r="28" customFormat="false" ht="12.8" hidden="false" customHeight="false" outlineLevel="0" collapsed="false">
      <c r="A28" s="6"/>
      <c r="B28" s="6"/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</row>
    <row r="29" customFormat="false" ht="12.8" hidden="false" customHeight="false" outlineLevel="0" collapsed="false">
      <c r="A29" s="6"/>
      <c r="B29" s="6"/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9"/>
      <c r="AE29" s="6"/>
      <c r="AF29" s="6"/>
      <c r="AG29" s="6"/>
      <c r="AH29" s="6"/>
      <c r="AI29" s="6"/>
    </row>
    <row r="30" customFormat="false" ht="12.8" hidden="false" customHeight="false" outlineLevel="0" collapsed="false">
      <c r="A30" s="6"/>
      <c r="B30" s="6"/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</row>
    <row r="31" customFormat="false" ht="12.8" hidden="false" customHeight="false" outlineLevel="0" collapsed="false">
      <c r="A31" s="6"/>
      <c r="B31" s="6"/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</row>
    <row r="32" customFormat="false" ht="12.8" hidden="false" customHeight="false" outlineLevel="0" collapsed="false">
      <c r="A32" s="6"/>
      <c r="B32" s="6"/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</row>
    <row r="33" customFormat="false" ht="12.8" hidden="false" customHeight="false" outlineLevel="0" collapsed="false">
      <c r="A33" s="6"/>
      <c r="B33" s="6"/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</sheetData>
  <mergeCells count="7">
    <mergeCell ref="G3:H3"/>
    <mergeCell ref="K3:L3"/>
    <mergeCell ref="M3:O3"/>
    <mergeCell ref="S3:T3"/>
    <mergeCell ref="W3:X3"/>
    <mergeCell ref="Y3:AA3"/>
    <mergeCell ref="AE3:AE4"/>
  </mergeCells>
  <dataValidations count="7">
    <dataValidation allowBlank="true" errorStyle="stop" operator="between" showDropDown="false" showErrorMessage="true" showInputMessage="true" sqref="B5:B25" type="list">
      <formula1>SERVEI</formula1>
      <formula2>0</formula2>
    </dataValidation>
    <dataValidation allowBlank="true" errorStyle="stop" operator="between" showDropDown="false" showErrorMessage="true" showInputMessage="true" sqref="I25" type="list">
      <formula1>'PREUS BASE MÒDULS'!$D$5:$D$8</formula1>
      <formula2>0</formula2>
    </dataValidation>
    <dataValidation allowBlank="true" errorStyle="stop" operator="between" showDropDown="false" showErrorMessage="true" showInputMessage="true" sqref="V5:V25" type="list">
      <formula1>'PREUS BASE MÒDULS'!$D$15:$D$17</formula1>
      <formula2>0</formula2>
    </dataValidation>
    <dataValidation allowBlank="true" errorStyle="stop" operator="between" showDropDown="false" showErrorMessage="true" showInputMessage="true" sqref="U5" type="list">
      <formula1>'PREUS BASE MÒDULS'!$D$10:$D$13</formula1>
      <formula2>0</formula2>
    </dataValidation>
    <dataValidation allowBlank="true" errorStyle="stop" operator="between" showDropDown="false" showErrorMessage="true" showInputMessage="true" sqref="J5:J25" type="list">
      <formula1>'PREUS BASE TANQUES'!$D$23:$D$23</formula1>
      <formula2>0</formula2>
    </dataValidation>
    <dataValidation allowBlank="true" errorStyle="stop" operator="between" showDropDown="false" showErrorMessage="true" showInputMessage="true" sqref="I5:I24" type="list">
      <formula1>'PREUS BASE TANQUES'!$C$5:$D$12</formula1>
      <formula2>0</formula2>
    </dataValidation>
    <dataValidation allowBlank="true" errorStyle="stop" operator="between" showDropDown="false" showErrorMessage="true" showInputMessage="true" sqref="U6:U25" type="list">
      <formula1>'PREUS BASE TANQUES'!$C$15:$C$18</formula1>
      <formula2>0</formula2>
    </dataValidation>
  </dataValidations>
  <printOptions headings="false" gridLines="false" gridLinesSet="true" horizontalCentered="false" verticalCentered="false"/>
  <pageMargins left="0.138194444444444" right="0.3125" top="1.05277777777778" bottom="1.05277777777778" header="0.7875" footer="0.7875"/>
  <pageSetup paperSize="8" scale="61" fitToWidth="1" fitToHeight="1" pageOrder="downThenOver" orientation="landscape" blackAndWhite="false" draft="false" cellComments="non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  <colBreaks count="2" manualBreakCount="2">
    <brk id="31" man="true" max="65535" min="0"/>
    <brk id="33" man="true" max="65535" min="0"/>
  </col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1834</TotalTime>
  <Application>LibreOffice/7.4.0.3$Windows_X86_64 LibreOffice_project/f85e47c08ddd19c015c0114a68350214f7066f5a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2023-02-23T14:43:32Z</dcterms:created>
  <dc:creator>Microsoft Office User</dc:creator>
  <dc:description/>
  <dc:language>es-ES</dc:language>
  <cp:lastModifiedBy/>
  <cp:lastPrinted>2023-04-28T14:08:02Z</cp:lastPrinted>
  <dcterms:modified xsi:type="dcterms:W3CDTF">2023-04-28T14:45:44Z</dcterms:modified>
  <cp:revision>40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